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AYR\TAXBN\"/>
    </mc:Choice>
  </mc:AlternateContent>
  <bookViews>
    <workbookView xWindow="0" yWindow="0" windowWidth="25200" windowHeight="11835" tabRatio="435"/>
  </bookViews>
  <sheets>
    <sheet name="TAX2018A" sheetId="1" r:id="rId1"/>
    <sheet name="TAX2018B" sheetId="5" r:id="rId2"/>
    <sheet name="SAVINGS" sheetId="6" r:id="rId3"/>
    <sheet name="Formulas" sheetId="2" r:id="rId4"/>
  </sheets>
  <definedNames>
    <definedName name="_xlnm.Print_Area" localSheetId="3">Formulas!$B$4:$G$90</definedName>
  </definedNames>
  <calcPr calcId="162913"/>
</workbook>
</file>

<file path=xl/calcChain.xml><?xml version="1.0" encoding="utf-8"?>
<calcChain xmlns="http://schemas.openxmlformats.org/spreadsheetml/2006/main">
  <c r="F21" i="2" l="1"/>
  <c r="F22" i="2"/>
  <c r="F23" i="2"/>
  <c r="F24" i="2"/>
  <c r="F25" i="2"/>
  <c r="F26" i="2"/>
  <c r="F20" i="2"/>
  <c r="F16" i="2"/>
  <c r="F15" i="2"/>
  <c r="F14" i="2"/>
  <c r="F13" i="2"/>
  <c r="F12" i="2"/>
  <c r="F11" i="2"/>
  <c r="F10" i="2"/>
  <c r="B62" i="1"/>
  <c r="A72" i="5"/>
  <c r="A72" i="1"/>
  <c r="B81" i="2"/>
  <c r="B7" i="5"/>
  <c r="B102" i="5" s="1"/>
  <c r="B3" i="5"/>
  <c r="H38" i="2"/>
  <c r="H37" i="2"/>
  <c r="H51" i="2"/>
  <c r="H50" i="2"/>
  <c r="H47" i="2"/>
  <c r="H46" i="2"/>
  <c r="H43" i="2"/>
  <c r="H42" i="2" s="1"/>
  <c r="H41" i="2"/>
  <c r="B2" i="5"/>
  <c r="B27" i="5"/>
  <c r="B86" i="5"/>
  <c r="B95" i="5" s="1"/>
  <c r="B110" i="5" s="1"/>
  <c r="B87" i="5"/>
  <c r="B88" i="5"/>
  <c r="B89" i="5"/>
  <c r="B90" i="5"/>
  <c r="B91" i="5"/>
  <c r="B92" i="5"/>
  <c r="B93" i="5"/>
  <c r="B94" i="5"/>
  <c r="B85" i="5"/>
  <c r="B22" i="5"/>
  <c r="B81" i="5"/>
  <c r="B21" i="5"/>
  <c r="B78" i="5"/>
  <c r="B20" i="5"/>
  <c r="B19" i="5"/>
  <c r="B18" i="5"/>
  <c r="B55" i="5"/>
  <c r="B17" i="5"/>
  <c r="B37" i="5" s="1"/>
  <c r="B16" i="5"/>
  <c r="B15" i="5"/>
  <c r="B14" i="5"/>
  <c r="B13" i="5"/>
  <c r="J43" i="2" s="1"/>
  <c r="B12" i="5"/>
  <c r="B29" i="5" s="1"/>
  <c r="B11" i="5"/>
  <c r="J78" i="2" s="1"/>
  <c r="J77" i="2" s="1"/>
  <c r="B10" i="5"/>
  <c r="A69" i="1"/>
  <c r="B44" i="1"/>
  <c r="B27" i="1"/>
  <c r="B105" i="1" s="1"/>
  <c r="B69" i="2"/>
  <c r="B68" i="2"/>
  <c r="B67" i="2"/>
  <c r="B66" i="2"/>
  <c r="B43" i="1"/>
  <c r="B26" i="1"/>
  <c r="B101" i="1" s="1"/>
  <c r="B5" i="5"/>
  <c r="B6" i="5"/>
  <c r="B9" i="5"/>
  <c r="B8" i="5"/>
  <c r="B61" i="1"/>
  <c r="B63" i="1" s="1"/>
  <c r="H78" i="2"/>
  <c r="H77" i="2" s="1"/>
  <c r="H76" i="2" s="1"/>
  <c r="H75" i="2" s="1"/>
  <c r="H33" i="2"/>
  <c r="H32" i="2" s="1"/>
  <c r="H31" i="2" s="1"/>
  <c r="H30" i="2" s="1"/>
  <c r="H49" i="2"/>
  <c r="H45" i="2" s="1"/>
  <c r="A69" i="5"/>
  <c r="A13" i="6"/>
  <c r="B99" i="1"/>
  <c r="B29" i="1"/>
  <c r="B45" i="1"/>
  <c r="B78" i="1"/>
  <c r="B81" i="1"/>
  <c r="B106" i="1"/>
  <c r="B102" i="1"/>
  <c r="B95" i="1"/>
  <c r="B110" i="1" s="1"/>
  <c r="B37" i="1"/>
  <c r="B55" i="1"/>
  <c r="B99" i="5"/>
  <c r="B28" i="1"/>
  <c r="B62" i="5"/>
  <c r="B61" i="5"/>
  <c r="J50" i="2"/>
  <c r="B44" i="5"/>
  <c r="B105" i="5"/>
  <c r="B23" i="5"/>
  <c r="B106" i="5"/>
  <c r="J46" i="2"/>
  <c r="B109" i="5"/>
  <c r="B77" i="1"/>
  <c r="B43" i="5"/>
  <c r="J37" i="2"/>
  <c r="J41" i="2"/>
  <c r="B26" i="5"/>
  <c r="B63" i="5" l="1"/>
  <c r="B70" i="5" s="1"/>
  <c r="B69" i="5" s="1"/>
  <c r="B7" i="6"/>
  <c r="B100" i="5"/>
  <c r="B28" i="5"/>
  <c r="J33" i="2"/>
  <c r="J32" i="2" s="1"/>
  <c r="J31" i="2" s="1"/>
  <c r="H40" i="2"/>
  <c r="H36" i="2" s="1"/>
  <c r="B47" i="5" s="1"/>
  <c r="B65" i="5"/>
  <c r="B103" i="5" s="1"/>
  <c r="D7" i="6"/>
  <c r="B101" i="5"/>
  <c r="B23" i="1"/>
  <c r="B80" i="1"/>
  <c r="B109" i="1"/>
  <c r="J42" i="2"/>
  <c r="J38" i="2"/>
  <c r="J47" i="2"/>
  <c r="J51" i="2"/>
  <c r="B31" i="5"/>
  <c r="K12" i="2" s="1"/>
  <c r="B46" i="1"/>
  <c r="B46" i="5"/>
  <c r="B47" i="1"/>
  <c r="J36" i="2"/>
  <c r="J30" i="2"/>
  <c r="J49" i="2"/>
  <c r="J45" i="2" s="1"/>
  <c r="J40" i="2" s="1"/>
  <c r="J76" i="2"/>
  <c r="J75" i="2" s="1"/>
  <c r="B80" i="5"/>
  <c r="B77" i="5"/>
  <c r="B45" i="5"/>
  <c r="B65" i="1"/>
  <c r="B70" i="1"/>
  <c r="B69" i="1" s="1"/>
  <c r="B73" i="1"/>
  <c r="B72" i="1" s="1"/>
  <c r="B67" i="1"/>
  <c r="B100" i="1"/>
  <c r="B31" i="1"/>
  <c r="B67" i="5" l="1"/>
  <c r="B104" i="5" s="1"/>
  <c r="B73" i="5"/>
  <c r="B72" i="5" s="1"/>
  <c r="K11" i="2"/>
  <c r="J15" i="2"/>
  <c r="J22" i="2"/>
  <c r="E7" i="6"/>
  <c r="C7" i="6"/>
  <c r="J19" i="2"/>
  <c r="J17" i="2" s="1"/>
  <c r="K7" i="2" s="1"/>
  <c r="J10" i="2"/>
  <c r="K14" i="2"/>
  <c r="J11" i="2"/>
  <c r="J23" i="2"/>
  <c r="K15" i="2"/>
  <c r="J14" i="2"/>
  <c r="K10" i="2"/>
  <c r="J9" i="2"/>
  <c r="J7" i="2" s="1"/>
  <c r="B33" i="5" s="1"/>
  <c r="B35" i="5" s="1"/>
  <c r="J13" i="2"/>
  <c r="J21" i="2"/>
  <c r="K9" i="2"/>
  <c r="K13" i="2"/>
  <c r="J25" i="2"/>
  <c r="J12" i="2"/>
  <c r="J20" i="2"/>
  <c r="J24" i="2"/>
  <c r="H15" i="2"/>
  <c r="H13" i="2"/>
  <c r="H12" i="2" s="1"/>
  <c r="H11" i="2" s="1"/>
  <c r="H10" i="2" s="1"/>
  <c r="H9" i="2" s="1"/>
  <c r="H25" i="2"/>
  <c r="H23" i="2"/>
  <c r="I14" i="2"/>
  <c r="H14" i="2"/>
  <c r="H24" i="2"/>
  <c r="H22" i="2"/>
  <c r="H21" i="2" s="1"/>
  <c r="H20" i="2" s="1"/>
  <c r="H19" i="2" s="1"/>
  <c r="H17" i="2" s="1"/>
  <c r="I7" i="2" s="1"/>
  <c r="I15" i="2"/>
  <c r="I13" i="2"/>
  <c r="I12" i="2" s="1"/>
  <c r="I11" i="2" s="1"/>
  <c r="I10" i="2" s="1"/>
  <c r="I9" i="2" s="1"/>
  <c r="B104" i="1"/>
  <c r="B103" i="1"/>
  <c r="B4" i="6"/>
  <c r="B5" i="6" l="1"/>
  <c r="D5" i="6" s="1"/>
  <c r="B48" i="5"/>
  <c r="B50" i="5" s="1"/>
  <c r="J62" i="2" s="1"/>
  <c r="H7" i="2"/>
  <c r="B33" i="1" s="1"/>
  <c r="B35" i="1" s="1"/>
  <c r="J64" i="2"/>
  <c r="B48" i="1"/>
  <c r="B50" i="1" s="1"/>
  <c r="E4" i="6"/>
  <c r="C4" i="6"/>
  <c r="D4" i="6"/>
  <c r="C5" i="6"/>
  <c r="E5" i="6"/>
  <c r="J61" i="2" l="1"/>
  <c r="J57" i="2"/>
  <c r="J65" i="2"/>
  <c r="J58" i="2"/>
  <c r="J59" i="2"/>
  <c r="J63" i="2"/>
  <c r="J56" i="2"/>
  <c r="B52" i="5" s="1"/>
  <c r="B53" i="5" s="1"/>
  <c r="J60" i="2"/>
  <c r="H65" i="2"/>
  <c r="H64" i="2" s="1"/>
  <c r="H63" i="2" s="1"/>
  <c r="H62" i="2" s="1"/>
  <c r="H61" i="2" s="1"/>
  <c r="H60" i="2" s="1"/>
  <c r="H59" i="2" s="1"/>
  <c r="H58" i="2" s="1"/>
  <c r="H57" i="2" s="1"/>
  <c r="H56" i="2" s="1"/>
  <c r="B52" i="1" s="1"/>
  <c r="B53" i="1" s="1"/>
  <c r="B36" i="5" l="1"/>
  <c r="B39" i="5" s="1"/>
  <c r="B107" i="5" s="1"/>
  <c r="B54" i="5"/>
  <c r="B57" i="5" s="1"/>
  <c r="B108" i="5" s="1"/>
  <c r="B36" i="1"/>
  <c r="B39" i="1" s="1"/>
  <c r="B54" i="1"/>
  <c r="B57" i="1" s="1"/>
  <c r="B111" i="5" l="1"/>
  <c r="B108" i="1"/>
  <c r="B3" i="6"/>
  <c r="B107" i="1"/>
  <c r="B111" i="1" s="1"/>
  <c r="B2" i="6"/>
  <c r="E2" i="6" l="1"/>
  <c r="C2" i="6"/>
  <c r="D2" i="6"/>
  <c r="B11" i="6"/>
  <c r="D3" i="6"/>
  <c r="E3" i="6"/>
  <c r="C3" i="6"/>
  <c r="C11" i="6" l="1"/>
  <c r="D11" i="6"/>
  <c r="E11" i="6"/>
</calcChain>
</file>

<file path=xl/sharedStrings.xml><?xml version="1.0" encoding="utf-8"?>
<sst xmlns="http://schemas.openxmlformats.org/spreadsheetml/2006/main" count="266" uniqueCount="158">
  <si>
    <t>ADDITIONAL STATE TAX (%)</t>
  </si>
  <si>
    <t>ADDITIONAL FEDERAL TAX ($)</t>
  </si>
  <si>
    <t>ADDITIONAL STATE TAX ($)</t>
  </si>
  <si>
    <t>MEDICARE</t>
  </si>
  <si>
    <t>KANSAS CITY EARNINGS TAX</t>
  </si>
  <si>
    <t>ST. LOUIS EARNINGS TAX</t>
  </si>
  <si>
    <t>FEDERAL TAXES:</t>
  </si>
  <si>
    <t>ANNUALIZED GROSS TAXABLE WAGES</t>
  </si>
  <si>
    <t>MINUS TAX SHELTER</t>
  </si>
  <si>
    <t>MINUS FEDERAL EXEMPTIONS</t>
  </si>
  <si>
    <t>TOTAL ADJUSTED FEDERAL TAXABLE WAGES</t>
  </si>
  <si>
    <t>YEARLY FEDERAL TAX</t>
  </si>
  <si>
    <t/>
  </si>
  <si>
    <t>STATE TAXES:</t>
  </si>
  <si>
    <t>MINUS STANDARD DEDUCTION</t>
  </si>
  <si>
    <t>MINUS STATE EXEMPTION</t>
  </si>
  <si>
    <t>MINUS YEARLY FEDERAL TAX</t>
  </si>
  <si>
    <t>TOTAL ADJUSTED STATE TAXABLE WAGES</t>
  </si>
  <si>
    <t>ANNUALIZED YEARLY STATE TAX AMOUNT</t>
  </si>
  <si>
    <t>OASDI/MEDICARE TAX:</t>
  </si>
  <si>
    <t>OASDI TAX WITHHOLDINGS</t>
  </si>
  <si>
    <t>MEDICARE TAX WITHHOLDINGS</t>
  </si>
  <si>
    <t>ANNUALIZED OASDI WAGES =</t>
  </si>
  <si>
    <t>CITY EARNINGS TAX:</t>
  </si>
  <si>
    <t>ERR</t>
  </si>
  <si>
    <t>O.K.</t>
  </si>
  <si>
    <t>KANSAS CITY EARNINGS</t>
  </si>
  <si>
    <t xml:space="preserve">ST. LOUIS EARNING </t>
  </si>
  <si>
    <t>FEDERAL TAX DEDUCTION LIMITATION</t>
  </si>
  <si>
    <t>FEDERAL TAX</t>
  </si>
  <si>
    <t>STATE TAX</t>
  </si>
  <si>
    <t>STATE</t>
  </si>
  <si>
    <t xml:space="preserve">FEDERAL STATUS: S(single) M(married) H(hd/hshld)                               </t>
  </si>
  <si>
    <t>Single</t>
  </si>
  <si>
    <t>STATE STANDARD DEDUCTION AMOUNTS:</t>
  </si>
  <si>
    <t>STATE W-4 ALLOWANCE AMOUNTS:</t>
  </si>
  <si>
    <t xml:space="preserve">                                                                                                              STATE</t>
  </si>
  <si>
    <t>SINGLE (S)</t>
  </si>
  <si>
    <t>HEAD OF HOUSEHOLD (H)</t>
  </si>
  <si>
    <t>MARRIED/SPOUSE DOES NOT WORK (M)</t>
  </si>
  <si>
    <t>(a) Single person (including head of household)</t>
  </si>
  <si>
    <t>(b) Married person</t>
  </si>
  <si>
    <t>TABLE 7 - Annual Payroll Period:</t>
  </si>
  <si>
    <t>Over --</t>
  </si>
  <si>
    <t>But not over --</t>
  </si>
  <si>
    <t>Federal Exemption Amount:</t>
  </si>
  <si>
    <t>Single (S):</t>
  </si>
  <si>
    <t>Married/spouse does not work (M):</t>
  </si>
  <si>
    <t>Head of household (H):</t>
  </si>
  <si>
    <t>For first allowance:</t>
  </si>
  <si>
    <t>For each additional allowance:</t>
  </si>
  <si>
    <t>N</t>
  </si>
  <si>
    <t>Y</t>
  </si>
  <si>
    <t>Hd/Hsehold</t>
  </si>
  <si>
    <t>Married</t>
  </si>
  <si>
    <t>MEDICARE TAX</t>
  </si>
  <si>
    <t>Does Federal Tax Apply?</t>
  </si>
  <si>
    <t>Does State Tax Apply?</t>
  </si>
  <si>
    <t>Does OASDI Tax Apply?</t>
  </si>
  <si>
    <t>Does Medicare Tax Apply?</t>
  </si>
  <si>
    <t>WARNING!</t>
  </si>
  <si>
    <t>If the amt. of wages (after subtracting withholding allowances) is:</t>
  </si>
  <si>
    <t>SUBJECT TO OTHER TAXES?      Y(yes)  N(no):                      OASDI</t>
  </si>
  <si>
    <t>of excess over</t>
  </si>
  <si>
    <t>plus</t>
  </si>
  <si>
    <t>withhold</t>
  </si>
  <si>
    <t>but not over</t>
  </si>
  <si>
    <t xml:space="preserve">over </t>
  </si>
  <si>
    <t>NUMBER OF PAYPERIODS PER YEAR</t>
  </si>
  <si>
    <t>TOTAL FEDERAL TAX WITHHOLDINGS PER PAYPERIOD</t>
  </si>
  <si>
    <t>FEDERAL TAX PER PAYPERIOD (SUBTOTAL)</t>
  </si>
  <si>
    <t xml:space="preserve">GROSS WAGES PER PAYPERIOD </t>
  </si>
  <si>
    <t>TAX SHELTERED ANNUITY PER PAYPERIOD (e.g., Deferred Comp.)</t>
  </si>
  <si>
    <t>ADDITIONAL FEDERAL TAX PER PAYPERIOD (IF%)</t>
  </si>
  <si>
    <t>ADDITIONAL FEDERAL TAX PER PAYPERIOD (IF $)</t>
  </si>
  <si>
    <t>STATE TAX PER PAYPERIOD (SUBTOTAL)</t>
  </si>
  <si>
    <t>ADDITIONAL STATE TAX PER PAYPERIOD (IF %)</t>
  </si>
  <si>
    <t>ADDITIONAL STATE TAX PER PAYPERIOD (IF $)</t>
  </si>
  <si>
    <t>TOTAL STATE TAX WITHHOLDINGS PER PAYPERIOD</t>
  </si>
  <si>
    <t>GROSS WAGES PER PAYPERIOD</t>
  </si>
  <si>
    <t>MINUS STATE CAFETERIA PLAN REDUCTIONS PER PAYPERIOD</t>
  </si>
  <si>
    <t>NET OASDI/MEDICARE TAXABLE WAGES PER PAYPERIOD</t>
  </si>
  <si>
    <t>KANSAS CITY TAXABLE WAGES PER PAYPERIOD</t>
  </si>
  <si>
    <t>KANSAS CITY EARNINGS TAX WITHHOLDINGS PER PAYPERIOD</t>
  </si>
  <si>
    <t>ST. LOUIS TAXABLE WAGES PER PAYPERIOD</t>
  </si>
  <si>
    <t>ST. LOUIS EARNINGS TAX WITHHOLDINGS PER PAYPERIOD</t>
  </si>
  <si>
    <t>ADDITIONAL TAX PER PAYPERIOD:    ADDITIONAL FEDERAL TAX (%)</t>
  </si>
  <si>
    <t>OASDI  TAX RATE</t>
  </si>
  <si>
    <t>MEDICARE TAX RATE</t>
  </si>
  <si>
    <t>OASDI WAGE MAXIMUM</t>
  </si>
  <si>
    <t>CITY EARNINGS TAXES</t>
  </si>
  <si>
    <t>% Taxable</t>
  </si>
  <si>
    <t>Tax Rate</t>
  </si>
  <si>
    <t>City A</t>
  </si>
  <si>
    <t>City B</t>
  </si>
  <si>
    <t>FEDERAL TAX:</t>
  </si>
  <si>
    <t>STATE TAX:</t>
  </si>
  <si>
    <t>OASDI:</t>
  </si>
  <si>
    <t>MEDICARE:</t>
  </si>
  <si>
    <t>TAXABLE AMOUNT:</t>
  </si>
  <si>
    <t>FEDERAL</t>
  </si>
  <si>
    <t>OASDI/MED</t>
  </si>
  <si>
    <t>TOTAL</t>
  </si>
  <si>
    <t>Tax Savings:</t>
  </si>
  <si>
    <t>NUMBER OF ALLOWANCES:                                                       FEDERAL</t>
  </si>
  <si>
    <t>For each additional allowance</t>
  </si>
  <si>
    <t>STATE TAX RATE CALCULATIONS: Annualized</t>
  </si>
  <si>
    <t>Withhold</t>
  </si>
  <si>
    <t>Plus</t>
  </si>
  <si>
    <t xml:space="preserve">CAFETERIA PLAN (INSURANCE, CFPLX, CP DC) PER PAYPERIOD </t>
  </si>
  <si>
    <t>MISC VOLUNTARY DEDUCTIONS</t>
  </si>
  <si>
    <t>USE THESE LINES TO ENTER ANY VOLUNTARY DEDUCTIONS</t>
  </si>
  <si>
    <t>THAT REDUCE NET PAY AFTER TAXES HAVE BEEN CALCULATED</t>
  </si>
  <si>
    <t>TOTAL OF VOLUNTARY DEDUCTIONS</t>
  </si>
  <si>
    <t>CHECK SUMMARY</t>
  </si>
  <si>
    <t>GROSS WAGES</t>
  </si>
  <si>
    <t>CAFETERIA PLAN DEDUCTIONS</t>
  </si>
  <si>
    <t>DEFERRED COMPENSATION DEDUCTION</t>
  </si>
  <si>
    <t>FEDERAL, STATE AND LOCAL TAXABLE WAGE BASE</t>
  </si>
  <si>
    <t>FICA WAGE BASE</t>
  </si>
  <si>
    <t>FEDERAL INCOME TAX</t>
  </si>
  <si>
    <t>STATE INCOME TAX</t>
  </si>
  <si>
    <t>LOCAL TAX</t>
  </si>
  <si>
    <t>SOCIAL SECURITY TAX</t>
  </si>
  <si>
    <t>VOLUNTARY DEDUCTIONS</t>
  </si>
  <si>
    <t>NET PAY</t>
  </si>
  <si>
    <t>MARRIED/SPOUSE WORKS (B)</t>
  </si>
  <si>
    <t>Married/spouse works (B):</t>
  </si>
  <si>
    <t xml:space="preserve">  STATE STATUS: S(single) M(married) H(hd/hshld) B(spouse works)</t>
  </si>
  <si>
    <t>For each of first two allowances:</t>
  </si>
  <si>
    <t>2 Pay periods</t>
  </si>
  <si>
    <t>3 Pay periods</t>
  </si>
  <si>
    <t>4 Pay periods</t>
  </si>
  <si>
    <t>1 Pay period</t>
  </si>
  <si>
    <t>AUTO COMMUTE OR GROUP TERM LIFE TAXABLE BENEFIT</t>
  </si>
  <si>
    <t>OTHER TAXABLE BENEFITS (UNIFORM OR MOVING ALLOWANCE)</t>
  </si>
  <si>
    <t>WAS EMPLOYEE HIRED 01/01/11 OR AFTER AND MUST CONTRIBUTE 4% TOWARDS RETIREMENT? Y (yes) N (no)</t>
  </si>
  <si>
    <t>WAGES NOT APPLICABLE TOWARDS RETIREMENT (FCPO, SCPO, HCPO, ALPO)</t>
  </si>
  <si>
    <t>TOTAL GROSS WAGES PER PAY PERIOD</t>
  </si>
  <si>
    <t>MINUS EMPLOYEE RETIREMENT CONTRIBUTION</t>
  </si>
  <si>
    <t>EMPLOYEE RETIREMENT CONTRIBUTIONS</t>
  </si>
  <si>
    <t xml:space="preserve">ADDITIONAL STATE       </t>
  </si>
  <si>
    <t>EMPLOYEE RETIREMENT MAXIMUM CONTRIBUTION IS $9,800 ANNUALLY</t>
  </si>
  <si>
    <t>MEDICARE TAX RATE OVER $200,000</t>
  </si>
  <si>
    <t>MEDICARE TAX INCREASE AMOUNT</t>
  </si>
  <si>
    <t>ANNUALIZED MEDICARE WAGES =</t>
  </si>
  <si>
    <t>DEFRT IS NOT TAX DEFERRED</t>
  </si>
  <si>
    <t>TAX2018A</t>
  </si>
  <si>
    <t>Tax Calculation Information for Tax Year 2018</t>
  </si>
  <si>
    <t>NOTE:  2018 MAXIMUM OASDI TAXABLE WAGE IS $127,200.00</t>
  </si>
  <si>
    <t>NOTE:  2018 MEDICARE TAXABLE WAGE PERCENTAGE INCEASE AMOUNT IS $200,000</t>
  </si>
  <si>
    <t>For Tax2018A</t>
  </si>
  <si>
    <t>For Tax2018B</t>
  </si>
  <si>
    <t>TAX2018B</t>
  </si>
  <si>
    <t>REVISED 01/17/18</t>
  </si>
  <si>
    <t>NOTE:</t>
  </si>
  <si>
    <t>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</si>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</sst>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General_);[Red]\-General_)"/>
    <numFmt numFmtId="165" formatCode="0_);[Red]\-0_)"/>
    <numFmt numFmtId="166" formatCode="0.00%;[Red]\-0.00%"/>
    <numFmt numFmtId="167" formatCode="&quot;$&quot;#,##0.00;[Red]\-&quot;$&quot;#,##0.00"/>
    <numFmt numFmtId="168" formatCode="&quot;$&quot;#,##0.00"/>
    <numFmt numFmtId="169" formatCode="0.0%"/>
  </numFmts>
  <fonts count="21" x14ac:knownFonts="1">
    <font>
      <sz val="12"/>
      <name val="Arial"/>
    </font>
    <font>
      <sz val="10"/>
      <name val="Arial"/>
      <family val="2"/>
    </font>
    <font>
      <b/>
      <sz val="12"/>
      <color indexed="13"/>
      <name val="Arial"/>
      <family val="2"/>
    </font>
    <font>
      <b/>
      <sz val="12"/>
      <color indexed="12"/>
      <name val="Arial"/>
      <family val="2"/>
    </font>
    <font>
      <b/>
      <sz val="12"/>
      <color indexed="11"/>
      <name val="Arial"/>
      <family val="2"/>
    </font>
    <font>
      <b/>
      <sz val="12"/>
      <color indexed="10"/>
      <name val="Arial"/>
      <family val="2"/>
    </font>
    <font>
      <sz val="12"/>
      <color indexed="11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hadow/>
      <sz val="12"/>
      <color indexed="10"/>
      <name val="Arial"/>
      <family val="2"/>
    </font>
    <font>
      <b/>
      <sz val="12"/>
      <color indexed="50"/>
      <name val="Arial"/>
      <family val="2"/>
    </font>
    <font>
      <b/>
      <sz val="12"/>
      <color indexed="14"/>
      <name val="Arial"/>
      <family val="2"/>
    </font>
    <font>
      <b/>
      <shadow/>
      <sz val="12"/>
      <color indexed="10"/>
      <name val="Arial"/>
      <family val="2"/>
    </font>
    <font>
      <b/>
      <sz val="12"/>
      <color indexed="61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sz val="12"/>
      <color theme="0"/>
      <name val="Arial"/>
      <family val="2"/>
    </font>
    <font>
      <b/>
      <sz val="12"/>
      <color rgb="FFFFFF00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1" xfId="0" applyFont="1" applyFill="1" applyBorder="1" applyAlignment="1">
      <alignment horizontal="center"/>
    </xf>
    <xf numFmtId="164" fontId="3" fillId="0" borderId="0" xfId="0" applyNumberFormat="1" applyFont="1" applyAlignment="1" applyProtection="1">
      <alignment horizontal="right"/>
    </xf>
    <xf numFmtId="8" fontId="5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left"/>
    </xf>
    <xf numFmtId="165" fontId="4" fillId="0" borderId="0" xfId="0" applyNumberFormat="1" applyFont="1" applyProtection="1"/>
    <xf numFmtId="8" fontId="4" fillId="0" borderId="0" xfId="0" applyNumberFormat="1" applyFont="1" applyProtection="1"/>
    <xf numFmtId="8" fontId="3" fillId="3" borderId="1" xfId="0" applyNumberFormat="1" applyFont="1" applyFill="1" applyBorder="1" applyProtection="1"/>
    <xf numFmtId="8" fontId="4" fillId="0" borderId="0" xfId="0" applyNumberFormat="1" applyFont="1" applyAlignment="1" applyProtection="1">
      <alignment horizontal="left"/>
    </xf>
    <xf numFmtId="8" fontId="2" fillId="2" borderId="1" xfId="0" applyNumberFormat="1" applyFont="1" applyFill="1" applyBorder="1" applyProtection="1"/>
    <xf numFmtId="164" fontId="6" fillId="0" borderId="0" xfId="0" applyNumberFormat="1" applyFont="1" applyProtection="1"/>
    <xf numFmtId="8" fontId="6" fillId="0" borderId="0" xfId="0" applyNumberFormat="1" applyFont="1" applyAlignment="1" applyProtection="1">
      <alignment horizontal="left"/>
    </xf>
    <xf numFmtId="8" fontId="6" fillId="0" borderId="0" xfId="0" applyNumberFormat="1" applyFont="1" applyProtection="1"/>
    <xf numFmtId="8" fontId="2" fillId="2" borderId="0" xfId="0" applyNumberFormat="1" applyFont="1" applyFill="1" applyProtection="1"/>
    <xf numFmtId="164" fontId="3" fillId="3" borderId="1" xfId="0" applyNumberFormat="1" applyFont="1" applyFill="1" applyBorder="1" applyAlignment="1" applyProtection="1">
      <alignment horizontal="right"/>
    </xf>
    <xf numFmtId="164" fontId="4" fillId="0" borderId="0" xfId="0" applyNumberFormat="1" applyFont="1" applyProtection="1"/>
    <xf numFmtId="164" fontId="5" fillId="0" borderId="0" xfId="0" applyNumberFormat="1" applyFont="1" applyAlignment="1" applyProtection="1">
      <alignment horizontal="right"/>
    </xf>
    <xf numFmtId="0" fontId="6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5" fillId="3" borderId="1" xfId="0" applyNumberFormat="1" applyFont="1" applyFill="1" applyBorder="1" applyAlignment="1" applyProtection="1">
      <alignment horizontal="right"/>
    </xf>
    <xf numFmtId="8" fontId="3" fillId="0" borderId="0" xfId="0" applyNumberFormat="1" applyFont="1" applyAlignment="1" applyProtection="1">
      <alignment horizontal="right"/>
    </xf>
    <xf numFmtId="164" fontId="7" fillId="0" borderId="0" xfId="0" applyNumberFormat="1" applyFont="1" applyAlignment="1" applyProtection="1">
      <alignment horizontal="right"/>
    </xf>
    <xf numFmtId="0" fontId="7" fillId="0" borderId="0" xfId="0" applyFont="1" applyAlignment="1">
      <alignment horizontal="right"/>
    </xf>
    <xf numFmtId="164" fontId="3" fillId="3" borderId="1" xfId="0" applyNumberFormat="1" applyFont="1" applyFill="1" applyBorder="1" applyAlignment="1" applyProtection="1">
      <alignment horizontal="left" indent="15"/>
    </xf>
    <xf numFmtId="10" fontId="3" fillId="0" borderId="0" xfId="0" applyNumberFormat="1" applyFont="1" applyAlignment="1" applyProtection="1">
      <alignment horizontal="right"/>
    </xf>
    <xf numFmtId="8" fontId="8" fillId="0" borderId="0" xfId="0" applyNumberFormat="1" applyFont="1"/>
    <xf numFmtId="8" fontId="8" fillId="3" borderId="1" xfId="0" applyNumberFormat="1" applyFont="1" applyFill="1" applyBorder="1" applyProtection="1"/>
    <xf numFmtId="164" fontId="3" fillId="0" borderId="0" xfId="0" applyNumberFormat="1" applyFont="1" applyAlignment="1" applyProtection="1">
      <alignment horizontal="center"/>
    </xf>
    <xf numFmtId="8" fontId="9" fillId="0" borderId="0" xfId="0" applyNumberFormat="1" applyFont="1"/>
    <xf numFmtId="167" fontId="3" fillId="0" borderId="0" xfId="0" applyNumberFormat="1" applyFont="1" applyAlignment="1">
      <alignment horizontal="right"/>
    </xf>
    <xf numFmtId="164" fontId="3" fillId="0" borderId="0" xfId="0" quotePrefix="1" applyNumberFormat="1" applyFont="1" applyAlignment="1" applyProtection="1">
      <alignment horizontal="right"/>
    </xf>
    <xf numFmtId="164" fontId="5" fillId="0" borderId="0" xfId="0" quotePrefix="1" applyNumberFormat="1" applyFont="1" applyAlignment="1" applyProtection="1">
      <alignment horizontal="right"/>
    </xf>
    <xf numFmtId="8" fontId="3" fillId="0" borderId="0" xfId="0" quotePrefix="1" applyNumberFormat="1" applyFont="1" applyAlignment="1" applyProtection="1">
      <alignment horizontal="right"/>
    </xf>
    <xf numFmtId="168" fontId="3" fillId="3" borderId="1" xfId="0" applyNumberFormat="1" applyFont="1" applyFill="1" applyBorder="1" applyProtection="1"/>
    <xf numFmtId="8" fontId="5" fillId="0" borderId="0" xfId="0" applyNumberFormat="1" applyFont="1" applyAlignment="1" applyProtection="1">
      <alignment horizontal="center"/>
    </xf>
    <xf numFmtId="8" fontId="5" fillId="0" borderId="0" xfId="0" applyNumberFormat="1" applyFont="1" applyAlignment="1" applyProtection="1">
      <alignment horizontal="right"/>
      <protection locked="0"/>
    </xf>
    <xf numFmtId="8" fontId="11" fillId="0" borderId="0" xfId="0" applyNumberFormat="1" applyFont="1" applyAlignment="1">
      <alignment horizontal="center"/>
    </xf>
    <xf numFmtId="8" fontId="12" fillId="0" borderId="0" xfId="0" applyNumberFormat="1" applyFont="1" applyAlignment="1">
      <alignment horizontal="center"/>
    </xf>
    <xf numFmtId="164" fontId="8" fillId="3" borderId="1" xfId="0" quotePrefix="1" applyNumberFormat="1" applyFont="1" applyFill="1" applyBorder="1" applyAlignment="1" applyProtection="1">
      <alignment horizontal="right"/>
    </xf>
    <xf numFmtId="8" fontId="11" fillId="0" borderId="0" xfId="0" applyNumberFormat="1" applyFont="1"/>
    <xf numFmtId="0" fontId="11" fillId="0" borderId="0" xfId="0" applyFont="1"/>
    <xf numFmtId="0" fontId="8" fillId="0" borderId="0" xfId="0" applyFont="1"/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167" fontId="10" fillId="5" borderId="0" xfId="0" quotePrefix="1" applyNumberFormat="1" applyFont="1" applyFill="1" applyBorder="1" applyAlignment="1">
      <alignment horizontal="left"/>
    </xf>
    <xf numFmtId="8" fontId="12" fillId="0" borderId="0" xfId="0" applyNumberFormat="1" applyFont="1"/>
    <xf numFmtId="0" fontId="12" fillId="0" borderId="0" xfId="0" applyFont="1"/>
    <xf numFmtId="8" fontId="9" fillId="0" borderId="0" xfId="3" applyNumberFormat="1" applyFont="1"/>
    <xf numFmtId="7" fontId="3" fillId="3" borderId="1" xfId="1" applyNumberFormat="1" applyFont="1" applyFill="1" applyBorder="1" applyProtection="1"/>
    <xf numFmtId="167" fontId="13" fillId="5" borderId="2" xfId="0" applyNumberFormat="1" applyFont="1" applyFill="1" applyBorder="1" applyAlignment="1">
      <alignment horizontal="right"/>
    </xf>
    <xf numFmtId="164" fontId="8" fillId="3" borderId="5" xfId="0" quotePrefix="1" applyNumberFormat="1" applyFont="1" applyFill="1" applyBorder="1" applyAlignment="1" applyProtection="1">
      <alignment horizontal="right"/>
    </xf>
    <xf numFmtId="0" fontId="14" fillId="0" borderId="0" xfId="0" applyFont="1" applyAlignment="1">
      <alignment horizontal="right"/>
    </xf>
    <xf numFmtId="8" fontId="9" fillId="5" borderId="6" xfId="0" applyNumberFormat="1" applyFont="1" applyFill="1" applyBorder="1"/>
    <xf numFmtId="8" fontId="9" fillId="5" borderId="7" xfId="0" applyNumberFormat="1" applyFont="1" applyFill="1" applyBorder="1"/>
    <xf numFmtId="8" fontId="9" fillId="5" borderId="8" xfId="0" applyNumberFormat="1" applyFont="1" applyFill="1" applyBorder="1"/>
    <xf numFmtId="167" fontId="13" fillId="0" borderId="0" xfId="0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15" fillId="0" borderId="0" xfId="0" applyFont="1"/>
    <xf numFmtId="0" fontId="3" fillId="6" borderId="2" xfId="0" applyFont="1" applyFill="1" applyBorder="1" applyAlignment="1">
      <alignment horizontal="center"/>
    </xf>
    <xf numFmtId="0" fontId="3" fillId="6" borderId="2" xfId="0" quotePrefix="1" applyFont="1" applyFill="1" applyBorder="1" applyAlignment="1">
      <alignment horizontal="center"/>
    </xf>
    <xf numFmtId="8" fontId="3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center"/>
    </xf>
    <xf numFmtId="168" fontId="2" fillId="2" borderId="1" xfId="0" applyNumberFormat="1" applyFont="1" applyFill="1" applyBorder="1" applyProtection="1"/>
    <xf numFmtId="8" fontId="16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right" wrapText="1"/>
    </xf>
    <xf numFmtId="0" fontId="17" fillId="0" borderId="0" xfId="0" applyFont="1"/>
    <xf numFmtId="0" fontId="15" fillId="0" borderId="0" xfId="0" applyNumberFormat="1" applyFont="1"/>
    <xf numFmtId="8" fontId="3" fillId="0" borderId="0" xfId="0" applyNumberFormat="1" applyFont="1" applyFill="1" applyAlignment="1" applyProtection="1">
      <alignment horizontal="right"/>
    </xf>
    <xf numFmtId="8" fontId="2" fillId="0" borderId="0" xfId="0" applyNumberFormat="1" applyFont="1" applyFill="1" applyProtection="1"/>
    <xf numFmtId="0" fontId="3" fillId="5" borderId="4" xfId="0" applyNumberFormat="1" applyFont="1" applyFill="1" applyBorder="1" applyAlignment="1">
      <alignment horizontal="right"/>
    </xf>
    <xf numFmtId="167" fontId="10" fillId="0" borderId="0" xfId="0" quotePrefix="1" applyNumberFormat="1" applyFont="1" applyFill="1" applyBorder="1" applyAlignment="1">
      <alignment horizontal="left"/>
    </xf>
    <xf numFmtId="0" fontId="3" fillId="5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Protection="1"/>
    <xf numFmtId="168" fontId="18" fillId="7" borderId="0" xfId="0" applyNumberFormat="1" applyFont="1" applyFill="1" applyProtection="1"/>
    <xf numFmtId="49" fontId="5" fillId="0" borderId="0" xfId="0" applyNumberFormat="1" applyFont="1" applyAlignment="1" applyProtection="1">
      <alignment horizontal="center"/>
    </xf>
    <xf numFmtId="8" fontId="2" fillId="2" borderId="0" xfId="0" applyNumberFormat="1" applyFont="1" applyFill="1" applyBorder="1" applyProtection="1"/>
    <xf numFmtId="8" fontId="0" fillId="0" borderId="0" xfId="0" applyNumberFormat="1"/>
    <xf numFmtId="164" fontId="19" fillId="0" borderId="0" xfId="0" applyNumberFormat="1" applyFont="1" applyAlignment="1" applyProtection="1">
      <alignment horizontal="left" indent="7"/>
      <protection locked="0"/>
    </xf>
    <xf numFmtId="165" fontId="19" fillId="0" borderId="0" xfId="0" applyNumberFormat="1" applyFont="1" applyProtection="1">
      <protection locked="0"/>
    </xf>
    <xf numFmtId="8" fontId="19" fillId="0" borderId="0" xfId="0" applyNumberFormat="1" applyFont="1" applyProtection="1">
      <protection locked="0"/>
    </xf>
    <xf numFmtId="165" fontId="19" fillId="0" borderId="0" xfId="0" applyNumberFormat="1" applyFont="1" applyAlignment="1" applyProtection="1">
      <alignment horizontal="left" indent="7"/>
      <protection locked="0"/>
    </xf>
    <xf numFmtId="166" fontId="19" fillId="0" borderId="0" xfId="0" applyNumberFormat="1" applyFont="1" applyProtection="1">
      <protection locked="0"/>
    </xf>
    <xf numFmtId="168" fontId="19" fillId="0" borderId="0" xfId="0" applyNumberFormat="1" applyFont="1" applyAlignment="1" applyProtection="1">
      <alignment horizontal="right"/>
      <protection locked="0"/>
    </xf>
    <xf numFmtId="168" fontId="19" fillId="0" borderId="0" xfId="0" applyNumberFormat="1" applyFont="1" applyProtection="1">
      <protection locked="0"/>
    </xf>
    <xf numFmtId="164" fontId="3" fillId="5" borderId="1" xfId="0" applyNumberFormat="1" applyFont="1" applyFill="1" applyBorder="1" applyAlignment="1" applyProtection="1">
      <alignment horizontal="center"/>
    </xf>
    <xf numFmtId="164" fontId="3" fillId="5" borderId="3" xfId="0" applyNumberFormat="1" applyFont="1" applyFill="1" applyBorder="1" applyAlignment="1" applyProtection="1">
      <alignment horizontal="center"/>
    </xf>
    <xf numFmtId="164" fontId="3" fillId="5" borderId="2" xfId="0" applyNumberFormat="1" applyFont="1" applyFill="1" applyBorder="1" applyAlignment="1" applyProtection="1">
      <alignment horizontal="center"/>
    </xf>
    <xf numFmtId="8" fontId="2" fillId="4" borderId="2" xfId="0" applyNumberFormat="1" applyFont="1" applyFill="1" applyBorder="1" applyAlignment="1" applyProtection="1">
      <alignment horizontal="right"/>
    </xf>
    <xf numFmtId="168" fontId="2" fillId="4" borderId="2" xfId="0" applyNumberFormat="1" applyFont="1" applyFill="1" applyBorder="1" applyAlignment="1" applyProtection="1">
      <alignment horizontal="right"/>
    </xf>
    <xf numFmtId="10" fontId="2" fillId="4" borderId="2" xfId="0" applyNumberFormat="1" applyFont="1" applyFill="1" applyBorder="1" applyAlignment="1" applyProtection="1">
      <alignment horizontal="right"/>
    </xf>
    <xf numFmtId="169" fontId="2" fillId="4" borderId="2" xfId="0" applyNumberFormat="1" applyFont="1" applyFill="1" applyBorder="1" applyAlignment="1" applyProtection="1">
      <alignment horizontal="right"/>
    </xf>
    <xf numFmtId="8" fontId="2" fillId="4" borderId="2" xfId="0" applyNumberFormat="1" applyFont="1" applyFill="1" applyBorder="1" applyProtection="1"/>
    <xf numFmtId="164" fontId="3" fillId="0" borderId="0" xfId="0" applyNumberFormat="1" applyFont="1" applyProtection="1"/>
    <xf numFmtId="8" fontId="3" fillId="0" borderId="0" xfId="0" applyNumberFormat="1" applyFont="1" applyAlignment="1">
      <alignment horizontal="right"/>
    </xf>
    <xf numFmtId="8" fontId="5" fillId="0" borderId="0" xfId="0" applyNumberFormat="1" applyFont="1" applyAlignment="1" applyProtection="1">
      <alignment horizontal="right"/>
    </xf>
    <xf numFmtId="8" fontId="5" fillId="0" borderId="0" xfId="0" applyNumberFormat="1" applyFont="1" applyAlignment="1">
      <alignment horizontal="right"/>
    </xf>
    <xf numFmtId="8" fontId="5" fillId="0" borderId="0" xfId="0" applyNumberFormat="1" applyFont="1"/>
    <xf numFmtId="8" fontId="5" fillId="0" borderId="0" xfId="0" applyNumberFormat="1" applyFont="1" applyProtection="1"/>
    <xf numFmtId="0" fontId="3" fillId="0" borderId="0" xfId="0" applyFont="1" applyAlignment="1">
      <alignment horizontal="right"/>
    </xf>
    <xf numFmtId="164" fontId="3" fillId="0" borderId="1" xfId="0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right"/>
    </xf>
    <xf numFmtId="168" fontId="2" fillId="4" borderId="0" xfId="0" applyNumberFormat="1" applyFont="1" applyFill="1" applyBorder="1" applyAlignment="1" applyProtection="1">
      <alignment horizontal="right"/>
    </xf>
    <xf numFmtId="0" fontId="3" fillId="5" borderId="4" xfId="0" applyNumberFormat="1" applyFont="1" applyFill="1" applyBorder="1" applyAlignment="1">
      <alignment horizontal="center"/>
    </xf>
    <xf numFmtId="0" fontId="3" fillId="5" borderId="4" xfId="0" quotePrefix="1" applyNumberFormat="1" applyFont="1" applyFill="1" applyBorder="1" applyAlignment="1">
      <alignment horizontal="right"/>
    </xf>
    <xf numFmtId="0" fontId="15" fillId="0" borderId="0" xfId="0" applyFont="1" applyFill="1"/>
    <xf numFmtId="164" fontId="3" fillId="0" borderId="0" xfId="0" applyNumberFormat="1" applyFont="1" applyFill="1" applyAlignment="1" applyProtection="1">
      <alignment horizontal="right"/>
    </xf>
    <xf numFmtId="165" fontId="19" fillId="0" borderId="0" xfId="0" applyNumberFormat="1" applyFont="1" applyFill="1" applyAlignment="1" applyProtection="1">
      <alignment horizontal="center"/>
    </xf>
    <xf numFmtId="0" fontId="0" fillId="0" borderId="0" xfId="0" applyFill="1"/>
    <xf numFmtId="8" fontId="20" fillId="0" borderId="0" xfId="0" applyNumberFormat="1" applyFont="1" applyAlignment="1" applyProtection="1">
      <alignment horizontal="right"/>
      <protection locked="0"/>
    </xf>
    <xf numFmtId="0" fontId="0" fillId="8" borderId="0" xfId="0" applyFill="1"/>
  </cellXfs>
  <cellStyles count="4">
    <cellStyle name="Currency" xfId="1" builtin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>
    <pageSetUpPr autoPageBreaks="0"/>
  </sheetPr>
  <dimension ref="A1:F114"/>
  <sheetViews>
    <sheetView tabSelected="1" topLeftCell="A91" zoomScale="85" zoomScaleNormal="85" workbookViewId="0">
      <selection activeCell="B121" sqref="B121"/>
    </sheetView>
  </sheetViews>
  <sheetFormatPr defaultColWidth="12.6640625" defaultRowHeight="15" x14ac:dyDescent="0.2"/>
  <cols>
    <col min="1" max="1" width="70.33203125" style="19" customWidth="1"/>
    <col min="2" max="2" width="13.6640625" bestFit="1" customWidth="1"/>
  </cols>
  <sheetData>
    <row r="1" spans="1:6" ht="15.75" x14ac:dyDescent="0.25">
      <c r="A1" s="1" t="s">
        <v>147</v>
      </c>
    </row>
    <row r="2" spans="1:6" ht="31.5" x14ac:dyDescent="0.25">
      <c r="A2" s="65" t="s">
        <v>136</v>
      </c>
      <c r="B2" s="78" t="s">
        <v>51</v>
      </c>
    </row>
    <row r="3" spans="1:6" ht="15.75" x14ac:dyDescent="0.25">
      <c r="A3" s="2" t="s">
        <v>68</v>
      </c>
      <c r="B3" s="79">
        <v>24</v>
      </c>
    </row>
    <row r="4" spans="1:6" ht="15.75" x14ac:dyDescent="0.25">
      <c r="A4" s="2" t="s">
        <v>138</v>
      </c>
      <c r="B4" s="80">
        <v>0</v>
      </c>
      <c r="E4" s="108"/>
    </row>
    <row r="5" spans="1:6" ht="15.75" x14ac:dyDescent="0.25">
      <c r="A5" s="2" t="s">
        <v>137</v>
      </c>
      <c r="B5" s="80">
        <v>0</v>
      </c>
      <c r="D5" t="s">
        <v>155</v>
      </c>
    </row>
    <row r="6" spans="1:6" ht="15.75" x14ac:dyDescent="0.25">
      <c r="A6" s="2" t="s">
        <v>72</v>
      </c>
      <c r="B6" s="3">
        <v>0</v>
      </c>
      <c r="D6" s="110" t="s">
        <v>146</v>
      </c>
      <c r="E6" s="110"/>
      <c r="F6" s="110"/>
    </row>
    <row r="7" spans="1:6" ht="15.75" x14ac:dyDescent="0.25">
      <c r="A7" s="2" t="s">
        <v>109</v>
      </c>
      <c r="B7" s="3">
        <v>0</v>
      </c>
    </row>
    <row r="8" spans="1:6" ht="15.75" x14ac:dyDescent="0.25">
      <c r="A8" s="2" t="s">
        <v>134</v>
      </c>
      <c r="B8" s="64" t="s">
        <v>157</v>
      </c>
    </row>
    <row r="9" spans="1:6" ht="15.75" x14ac:dyDescent="0.25">
      <c r="A9" s="2" t="s">
        <v>135</v>
      </c>
      <c r="B9" s="64">
        <v>0</v>
      </c>
    </row>
    <row r="10" spans="1:6" ht="15.75" x14ac:dyDescent="0.25">
      <c r="A10" s="2" t="s">
        <v>32</v>
      </c>
      <c r="B10" s="78" t="s">
        <v>156</v>
      </c>
      <c r="C10" s="66"/>
    </row>
    <row r="11" spans="1:6" ht="15.75" x14ac:dyDescent="0.25">
      <c r="A11" s="2" t="s">
        <v>128</v>
      </c>
      <c r="B11" s="81" t="s">
        <v>156</v>
      </c>
    </row>
    <row r="12" spans="1:6" ht="15.75" x14ac:dyDescent="0.25">
      <c r="A12" s="4" t="s">
        <v>104</v>
      </c>
      <c r="B12" s="79">
        <v>0</v>
      </c>
    </row>
    <row r="13" spans="1:6" ht="15.75" x14ac:dyDescent="0.25">
      <c r="A13" s="4" t="s">
        <v>36</v>
      </c>
      <c r="B13" s="79">
        <v>0</v>
      </c>
    </row>
    <row r="14" spans="1:6" ht="15.75" x14ac:dyDescent="0.25">
      <c r="A14" s="2" t="s">
        <v>141</v>
      </c>
      <c r="B14" s="79">
        <v>0</v>
      </c>
    </row>
    <row r="15" spans="1:6" ht="15.75" x14ac:dyDescent="0.25">
      <c r="A15" s="31" t="s">
        <v>86</v>
      </c>
      <c r="B15" s="82">
        <v>0</v>
      </c>
    </row>
    <row r="16" spans="1:6" ht="15.75" x14ac:dyDescent="0.25">
      <c r="A16" s="2" t="s">
        <v>0</v>
      </c>
      <c r="B16" s="82">
        <v>0</v>
      </c>
    </row>
    <row r="17" spans="1:2" ht="15.75" x14ac:dyDescent="0.25">
      <c r="A17" s="2" t="s">
        <v>1</v>
      </c>
      <c r="B17" s="80">
        <v>0</v>
      </c>
    </row>
    <row r="18" spans="1:2" ht="15.75" x14ac:dyDescent="0.25">
      <c r="A18" s="2" t="s">
        <v>2</v>
      </c>
      <c r="B18" s="80">
        <v>0</v>
      </c>
    </row>
    <row r="19" spans="1:2" ht="15.75" x14ac:dyDescent="0.25">
      <c r="A19" s="31" t="s">
        <v>62</v>
      </c>
      <c r="B19" s="81" t="s">
        <v>52</v>
      </c>
    </row>
    <row r="20" spans="1:2" ht="15.75" x14ac:dyDescent="0.25">
      <c r="A20" s="2" t="s">
        <v>3</v>
      </c>
      <c r="B20" s="81" t="s">
        <v>52</v>
      </c>
    </row>
    <row r="21" spans="1:2" ht="15.75" x14ac:dyDescent="0.25">
      <c r="A21" s="2" t="s">
        <v>4</v>
      </c>
      <c r="B21" s="81" t="s">
        <v>51</v>
      </c>
    </row>
    <row r="22" spans="1:2" ht="15.75" x14ac:dyDescent="0.25">
      <c r="A22" s="2" t="s">
        <v>5</v>
      </c>
      <c r="B22" s="81" t="s">
        <v>51</v>
      </c>
    </row>
    <row r="23" spans="1:2" ht="15.75" x14ac:dyDescent="0.25">
      <c r="A23" s="106" t="s">
        <v>142</v>
      </c>
      <c r="B23" s="107" t="str">
        <f>IF(B27&gt;-9800, "OK","WARNING")</f>
        <v>OK</v>
      </c>
    </row>
    <row r="24" spans="1:2" ht="15.75" x14ac:dyDescent="0.25">
      <c r="A24" s="20" t="s">
        <v>6</v>
      </c>
      <c r="B24" s="6"/>
    </row>
    <row r="25" spans="1:2" ht="15.75" x14ac:dyDescent="0.25">
      <c r="A25" s="2"/>
      <c r="B25" s="6"/>
    </row>
    <row r="26" spans="1:2" ht="15.75" x14ac:dyDescent="0.25">
      <c r="A26" s="2" t="s">
        <v>7</v>
      </c>
      <c r="B26" s="7">
        <f>(B4+B9)*B3</f>
        <v>0</v>
      </c>
    </row>
    <row r="27" spans="1:2" ht="15.75" x14ac:dyDescent="0.25">
      <c r="A27" s="2" t="s">
        <v>139</v>
      </c>
      <c r="B27" s="7">
        <f>ROUND(IF(B2="N",0,(-(B4-B5)*0.04*B3)),2)</f>
        <v>0</v>
      </c>
    </row>
    <row r="28" spans="1:2" ht="15.75" x14ac:dyDescent="0.25">
      <c r="A28" s="2" t="s">
        <v>8</v>
      </c>
      <c r="B28" s="7">
        <f>-(B6+B7)*B3</f>
        <v>0</v>
      </c>
    </row>
    <row r="29" spans="1:2" ht="15.75" x14ac:dyDescent="0.25">
      <c r="A29" s="2" t="s">
        <v>9</v>
      </c>
      <c r="B29" s="7">
        <f>-B12*Formulas!B4</f>
        <v>0</v>
      </c>
    </row>
    <row r="30" spans="1:2" ht="15.75" x14ac:dyDescent="0.25">
      <c r="A30" s="2"/>
      <c r="B30" s="5"/>
    </row>
    <row r="31" spans="1:2" ht="15.75" x14ac:dyDescent="0.25">
      <c r="A31" s="2" t="s">
        <v>10</v>
      </c>
      <c r="B31" s="7">
        <f>SUM(B26:B29)</f>
        <v>0</v>
      </c>
    </row>
    <row r="32" spans="1:2" ht="15.75" x14ac:dyDescent="0.25">
      <c r="A32" s="2"/>
      <c r="B32" s="5"/>
    </row>
    <row r="33" spans="1:2" ht="15.75" x14ac:dyDescent="0.25">
      <c r="A33" s="2" t="s">
        <v>11</v>
      </c>
      <c r="B33" s="7">
        <f>Formulas!H7</f>
        <v>0</v>
      </c>
    </row>
    <row r="34" spans="1:2" ht="15.75" x14ac:dyDescent="0.25">
      <c r="A34" s="2"/>
      <c r="B34" s="5"/>
    </row>
    <row r="35" spans="1:2" ht="15.75" x14ac:dyDescent="0.25">
      <c r="A35" s="2" t="s">
        <v>70</v>
      </c>
      <c r="B35" s="7">
        <f>B33/B3</f>
        <v>0</v>
      </c>
    </row>
    <row r="36" spans="1:2" ht="15.75" x14ac:dyDescent="0.25">
      <c r="A36" s="2" t="s">
        <v>73</v>
      </c>
      <c r="B36" s="7">
        <f>(B4-B6-B7-B35-B53-B65-B67-B78-B81)*B15</f>
        <v>0</v>
      </c>
    </row>
    <row r="37" spans="1:2" ht="15.75" x14ac:dyDescent="0.25">
      <c r="A37" s="2" t="s">
        <v>74</v>
      </c>
      <c r="B37" s="7">
        <f>B17</f>
        <v>0</v>
      </c>
    </row>
    <row r="38" spans="1:2" ht="15.75" x14ac:dyDescent="0.25">
      <c r="A38" s="2"/>
      <c r="B38" s="8" t="s">
        <v>12</v>
      </c>
    </row>
    <row r="39" spans="1:2" ht="15.75" x14ac:dyDescent="0.25">
      <c r="A39" s="2" t="s">
        <v>69</v>
      </c>
      <c r="B39" s="9">
        <f>SUM(B35:B37)</f>
        <v>0</v>
      </c>
    </row>
    <row r="40" spans="1:2" ht="15.75" x14ac:dyDescent="0.25">
      <c r="A40" s="2"/>
      <c r="B40" s="6"/>
    </row>
    <row r="41" spans="1:2" ht="15.75" x14ac:dyDescent="0.25">
      <c r="A41" s="20" t="s">
        <v>13</v>
      </c>
      <c r="B41" s="10"/>
    </row>
    <row r="42" spans="1:2" ht="15.75" x14ac:dyDescent="0.25">
      <c r="A42" s="2"/>
      <c r="B42" s="10"/>
    </row>
    <row r="43" spans="1:2" ht="15.75" x14ac:dyDescent="0.25">
      <c r="A43" s="2" t="s">
        <v>7</v>
      </c>
      <c r="B43" s="7">
        <f>(B4+B9)*B3</f>
        <v>0</v>
      </c>
    </row>
    <row r="44" spans="1:2" ht="15.75" x14ac:dyDescent="0.25">
      <c r="A44" s="2" t="s">
        <v>139</v>
      </c>
      <c r="B44" s="7">
        <f>ROUND(IF(B2="N",0,(-(B4-B5)*0.04*B3)),2)</f>
        <v>0</v>
      </c>
    </row>
    <row r="45" spans="1:2" ht="15.75" x14ac:dyDescent="0.25">
      <c r="A45" s="2" t="s">
        <v>8</v>
      </c>
      <c r="B45" s="7">
        <f>-((B6+B7)*B3)</f>
        <v>0</v>
      </c>
    </row>
    <row r="46" spans="1:2" ht="15.75" x14ac:dyDescent="0.25">
      <c r="A46" s="2" t="s">
        <v>14</v>
      </c>
      <c r="B46" s="27">
        <f>Formulas!H30</f>
        <v>-12000</v>
      </c>
    </row>
    <row r="47" spans="1:2" ht="15.75" x14ac:dyDescent="0.25">
      <c r="A47" s="2" t="s">
        <v>15</v>
      </c>
      <c r="B47" s="7">
        <f>-Formulas!H36</f>
        <v>0</v>
      </c>
    </row>
    <row r="48" spans="1:2" ht="15.75" x14ac:dyDescent="0.25">
      <c r="A48" s="2" t="s">
        <v>16</v>
      </c>
      <c r="B48" s="7">
        <f>IF(B33&lt;Formulas!H75,-B33,-Formulas!H75)</f>
        <v>0</v>
      </c>
    </row>
    <row r="49" spans="1:2" ht="15.75" x14ac:dyDescent="0.25">
      <c r="A49" s="2"/>
      <c r="B49" s="11" t="s">
        <v>12</v>
      </c>
    </row>
    <row r="50" spans="1:2" ht="15.75" x14ac:dyDescent="0.25">
      <c r="A50" s="2" t="s">
        <v>17</v>
      </c>
      <c r="B50" s="7">
        <f>IF(SUM(B43:B48)&lt;0, 0, SUM(B43:B48))</f>
        <v>0</v>
      </c>
    </row>
    <row r="51" spans="1:2" ht="15.75" x14ac:dyDescent="0.25">
      <c r="A51" s="2"/>
      <c r="B51" s="12"/>
    </row>
    <row r="52" spans="1:2" ht="15.75" x14ac:dyDescent="0.25">
      <c r="A52" s="2" t="s">
        <v>18</v>
      </c>
      <c r="B52" s="7">
        <f>ROUND(Formulas!H56,0)</f>
        <v>0</v>
      </c>
    </row>
    <row r="53" spans="1:2" ht="15.75" x14ac:dyDescent="0.25">
      <c r="A53" s="2" t="s">
        <v>75</v>
      </c>
      <c r="B53" s="49">
        <f>ROUND((B52/B3),0)</f>
        <v>0</v>
      </c>
    </row>
    <row r="54" spans="1:2" ht="15.75" x14ac:dyDescent="0.25">
      <c r="A54" s="2" t="s">
        <v>76</v>
      </c>
      <c r="B54" s="7">
        <f>(B4-B6-B7-B35-B53-B65-B67)*B16</f>
        <v>0</v>
      </c>
    </row>
    <row r="55" spans="1:2" ht="15.75" x14ac:dyDescent="0.25">
      <c r="A55" s="2" t="s">
        <v>77</v>
      </c>
      <c r="B55" s="7">
        <f>B18</f>
        <v>0</v>
      </c>
    </row>
    <row r="56" spans="1:2" ht="15.75" x14ac:dyDescent="0.25">
      <c r="A56" s="2"/>
      <c r="B56" s="12"/>
    </row>
    <row r="57" spans="1:2" ht="15.75" x14ac:dyDescent="0.25">
      <c r="A57" s="2" t="s">
        <v>78</v>
      </c>
      <c r="B57" s="9">
        <f>IF(B53&gt;=0,B53+B54+B55,B54+B55)</f>
        <v>0</v>
      </c>
    </row>
    <row r="58" spans="1:2" ht="15.75" x14ac:dyDescent="0.25">
      <c r="A58" s="2"/>
      <c r="B58" s="2"/>
    </row>
    <row r="59" spans="1:2" ht="15.75" x14ac:dyDescent="0.25">
      <c r="A59" s="20" t="s">
        <v>19</v>
      </c>
      <c r="B59" s="6"/>
    </row>
    <row r="60" spans="1:2" ht="15.75" x14ac:dyDescent="0.25">
      <c r="A60" s="2"/>
      <c r="B60" s="10"/>
    </row>
    <row r="61" spans="1:2" ht="15.75" x14ac:dyDescent="0.25">
      <c r="A61" s="2" t="s">
        <v>79</v>
      </c>
      <c r="B61" s="7">
        <f>B4+B8+B9</f>
        <v>0</v>
      </c>
    </row>
    <row r="62" spans="1:2" ht="15.75" x14ac:dyDescent="0.25">
      <c r="A62" s="2" t="s">
        <v>80</v>
      </c>
      <c r="B62" s="7">
        <f>-B7</f>
        <v>0</v>
      </c>
    </row>
    <row r="63" spans="1:2" ht="15.75" x14ac:dyDescent="0.25">
      <c r="A63" s="2" t="s">
        <v>81</v>
      </c>
      <c r="B63" s="7">
        <f>B61+B62</f>
        <v>0</v>
      </c>
    </row>
    <row r="64" spans="1:2" ht="15.75" x14ac:dyDescent="0.25">
      <c r="A64" s="2"/>
      <c r="B64" s="6"/>
    </row>
    <row r="65" spans="1:3" ht="15.75" x14ac:dyDescent="0.25">
      <c r="A65" s="2" t="s">
        <v>20</v>
      </c>
      <c r="B65" s="9">
        <f>IF(B19="Y",B63*Formulas!B79,0)</f>
        <v>0</v>
      </c>
    </row>
    <row r="66" spans="1:3" ht="15.75" x14ac:dyDescent="0.25">
      <c r="A66" s="2"/>
      <c r="B66" s="6"/>
    </row>
    <row r="67" spans="1:3" ht="15.75" x14ac:dyDescent="0.25">
      <c r="A67" s="2" t="s">
        <v>21</v>
      </c>
      <c r="B67" s="76">
        <f>IF(B20="Y",B63*Formulas!B80,0)</f>
        <v>0</v>
      </c>
    </row>
    <row r="68" spans="1:3" ht="15.75" x14ac:dyDescent="0.25">
      <c r="A68" s="2"/>
      <c r="B68" s="12"/>
    </row>
    <row r="69" spans="1:3" ht="15.75" x14ac:dyDescent="0.25">
      <c r="A69" s="2" t="str">
        <f>Formulas!A91</f>
        <v>NOTE:  2018 MAXIMUM OASDI TAXABLE WAGE IS $127,200.00</v>
      </c>
      <c r="B69" s="75" t="str">
        <f>IF(B70&lt;=Formulas!B82,Formulas!A70,Formulas!A71)</f>
        <v>O.K.</v>
      </c>
      <c r="C69" s="77"/>
    </row>
    <row r="70" spans="1:3" ht="15.75" x14ac:dyDescent="0.25">
      <c r="A70" s="2" t="s">
        <v>22</v>
      </c>
      <c r="B70" s="13">
        <f>B63*B3</f>
        <v>0</v>
      </c>
    </row>
    <row r="71" spans="1:3" ht="15.75" x14ac:dyDescent="0.25">
      <c r="A71" s="2"/>
      <c r="B71" s="69"/>
    </row>
    <row r="72" spans="1:3" ht="15.75" x14ac:dyDescent="0.25">
      <c r="A72" s="2" t="str">
        <f>Formulas!A92</f>
        <v>NOTE:  2018 MEDICARE TAXABLE WAGE PERCENTAGE INCEASE AMOUNT IS $200,000</v>
      </c>
      <c r="B72" s="75" t="str">
        <f>IF(B73&lt;=Formulas!B83,Formulas!A70,Formulas!A71)</f>
        <v>O.K.</v>
      </c>
    </row>
    <row r="73" spans="1:3" ht="15.75" x14ac:dyDescent="0.25">
      <c r="A73" s="2" t="s">
        <v>145</v>
      </c>
      <c r="B73" s="74">
        <f>B63*B3</f>
        <v>0</v>
      </c>
    </row>
    <row r="74" spans="1:3" ht="15.75" x14ac:dyDescent="0.25">
      <c r="A74" s="21"/>
      <c r="B74" s="73"/>
    </row>
    <row r="75" spans="1:3" ht="15.75" x14ac:dyDescent="0.25">
      <c r="A75" s="20" t="s">
        <v>23</v>
      </c>
      <c r="B75" s="10"/>
    </row>
    <row r="76" spans="1:3" ht="15.75" x14ac:dyDescent="0.25">
      <c r="A76" s="2"/>
      <c r="B76" s="10"/>
    </row>
    <row r="77" spans="1:3" ht="15.75" x14ac:dyDescent="0.25">
      <c r="A77" s="2" t="s">
        <v>82</v>
      </c>
      <c r="B77" s="7">
        <f>(B4+B8+B9-B6-B7-(-B27))*Formulas!C86</f>
        <v>0</v>
      </c>
    </row>
    <row r="78" spans="1:3" ht="15.75" x14ac:dyDescent="0.25">
      <c r="A78" s="2" t="s">
        <v>83</v>
      </c>
      <c r="B78" s="9">
        <f>IF(B21="Y",B77*Formulas!B86,0)</f>
        <v>0</v>
      </c>
    </row>
    <row r="79" spans="1:3" ht="15.75" x14ac:dyDescent="0.25">
      <c r="A79" s="2"/>
      <c r="B79" s="10"/>
    </row>
    <row r="80" spans="1:3" ht="15.75" x14ac:dyDescent="0.25">
      <c r="A80" s="2" t="s">
        <v>84</v>
      </c>
      <c r="B80" s="7">
        <f>(B4+B8+B9-B6-B7-(-B27))*Formulas!C86</f>
        <v>0</v>
      </c>
    </row>
    <row r="81" spans="1:2" ht="15.75" x14ac:dyDescent="0.25">
      <c r="A81" s="2" t="s">
        <v>85</v>
      </c>
      <c r="B81" s="9">
        <f>IF(B22="Y",B80*Formulas!B87,0)</f>
        <v>0</v>
      </c>
    </row>
    <row r="82" spans="1:2" ht="15.75" x14ac:dyDescent="0.25">
      <c r="A82" s="2"/>
      <c r="B82" s="10"/>
    </row>
    <row r="83" spans="1:2" ht="15.75" x14ac:dyDescent="0.25">
      <c r="A83" s="50" t="s">
        <v>110</v>
      </c>
    </row>
    <row r="84" spans="1:2" ht="15.75" x14ac:dyDescent="0.25">
      <c r="A84" s="56"/>
    </row>
    <row r="85" spans="1:2" ht="15.75" x14ac:dyDescent="0.25">
      <c r="A85" s="52" t="s">
        <v>111</v>
      </c>
      <c r="B85" s="80">
        <v>0</v>
      </c>
    </row>
    <row r="86" spans="1:2" ht="15.75" x14ac:dyDescent="0.25">
      <c r="A86" s="52" t="s">
        <v>112</v>
      </c>
      <c r="B86" s="80">
        <v>0</v>
      </c>
    </row>
    <row r="87" spans="1:2" ht="15.75" x14ac:dyDescent="0.25">
      <c r="B87" s="80">
        <v>0</v>
      </c>
    </row>
    <row r="88" spans="1:2" ht="15.75" x14ac:dyDescent="0.25">
      <c r="B88" s="80">
        <v>0</v>
      </c>
    </row>
    <row r="89" spans="1:2" ht="15.75" x14ac:dyDescent="0.25">
      <c r="B89" s="80">
        <v>0</v>
      </c>
    </row>
    <row r="90" spans="1:2" ht="15.75" x14ac:dyDescent="0.25">
      <c r="B90" s="80">
        <v>0</v>
      </c>
    </row>
    <row r="91" spans="1:2" ht="15.75" x14ac:dyDescent="0.25">
      <c r="B91" s="80">
        <v>0</v>
      </c>
    </row>
    <row r="92" spans="1:2" ht="15.75" x14ac:dyDescent="0.25">
      <c r="B92" s="80">
        <v>0</v>
      </c>
    </row>
    <row r="93" spans="1:2" ht="15.75" x14ac:dyDescent="0.25">
      <c r="B93" s="80">
        <v>0</v>
      </c>
    </row>
    <row r="94" spans="1:2" ht="15.75" x14ac:dyDescent="0.25">
      <c r="B94" s="80">
        <v>0</v>
      </c>
    </row>
    <row r="95" spans="1:2" ht="15.75" x14ac:dyDescent="0.25">
      <c r="A95" s="30" t="s">
        <v>113</v>
      </c>
      <c r="B95" s="9">
        <f>SUM(B85:B94)</f>
        <v>0</v>
      </c>
    </row>
    <row r="97" spans="1:2" ht="15.75" x14ac:dyDescent="0.25">
      <c r="A97" s="50" t="s">
        <v>114</v>
      </c>
    </row>
    <row r="98" spans="1:2" ht="15.75" x14ac:dyDescent="0.25">
      <c r="A98" s="56"/>
    </row>
    <row r="99" spans="1:2" ht="15.75" x14ac:dyDescent="0.25">
      <c r="A99" s="30" t="s">
        <v>115</v>
      </c>
      <c r="B99" s="53">
        <f>B4</f>
        <v>0</v>
      </c>
    </row>
    <row r="100" spans="1:2" ht="15.75" x14ac:dyDescent="0.25">
      <c r="A100" s="30" t="s">
        <v>119</v>
      </c>
      <c r="B100" s="54">
        <f>B63</f>
        <v>0</v>
      </c>
    </row>
    <row r="101" spans="1:2" ht="15.75" x14ac:dyDescent="0.25">
      <c r="A101" s="30" t="s">
        <v>118</v>
      </c>
      <c r="B101" s="54">
        <f>B26/B3</f>
        <v>0</v>
      </c>
    </row>
    <row r="102" spans="1:2" ht="15.75" x14ac:dyDescent="0.25">
      <c r="A102" s="30" t="s">
        <v>116</v>
      </c>
      <c r="B102" s="54">
        <f>-B7</f>
        <v>0</v>
      </c>
    </row>
    <row r="103" spans="1:2" ht="15.75" x14ac:dyDescent="0.25">
      <c r="A103" s="30" t="s">
        <v>123</v>
      </c>
      <c r="B103" s="54">
        <f>-B65</f>
        <v>0</v>
      </c>
    </row>
    <row r="104" spans="1:2" ht="15.75" x14ac:dyDescent="0.25">
      <c r="A104" s="30" t="s">
        <v>55</v>
      </c>
      <c r="B104" s="54">
        <f>-B67</f>
        <v>0</v>
      </c>
    </row>
    <row r="105" spans="1:2" ht="15.75" x14ac:dyDescent="0.25">
      <c r="A105" s="30" t="s">
        <v>140</v>
      </c>
      <c r="B105" s="54">
        <f>B27/B3</f>
        <v>0</v>
      </c>
    </row>
    <row r="106" spans="1:2" ht="15.75" x14ac:dyDescent="0.25">
      <c r="A106" s="30" t="s">
        <v>117</v>
      </c>
      <c r="B106" s="54">
        <f>-B6</f>
        <v>0</v>
      </c>
    </row>
    <row r="107" spans="1:2" ht="15.75" x14ac:dyDescent="0.25">
      <c r="A107" s="30" t="s">
        <v>120</v>
      </c>
      <c r="B107" s="54">
        <f>-B39</f>
        <v>0</v>
      </c>
    </row>
    <row r="108" spans="1:2" ht="15.75" x14ac:dyDescent="0.25">
      <c r="A108" s="30" t="s">
        <v>121</v>
      </c>
      <c r="B108" s="54">
        <f>-B57</f>
        <v>0</v>
      </c>
    </row>
    <row r="109" spans="1:2" ht="15.75" x14ac:dyDescent="0.25">
      <c r="A109" s="30" t="s">
        <v>122</v>
      </c>
      <c r="B109" s="54">
        <f>-(B78+B81)</f>
        <v>0</v>
      </c>
    </row>
    <row r="110" spans="1:2" ht="15.75" x14ac:dyDescent="0.25">
      <c r="A110" s="30" t="s">
        <v>124</v>
      </c>
      <c r="B110" s="55">
        <f>-B95</f>
        <v>0</v>
      </c>
    </row>
    <row r="111" spans="1:2" ht="15.75" x14ac:dyDescent="0.25">
      <c r="A111" s="30" t="s">
        <v>125</v>
      </c>
      <c r="B111" s="63">
        <f>B99+(SUM(B102:B110))</f>
        <v>0</v>
      </c>
    </row>
    <row r="112" spans="1:2" ht="15.75" x14ac:dyDescent="0.25">
      <c r="A112" s="30"/>
    </row>
    <row r="113" spans="1:1" ht="15.75" x14ac:dyDescent="0.25">
      <c r="A113" s="30"/>
    </row>
    <row r="114" spans="1:1" ht="15.75" x14ac:dyDescent="0.25">
      <c r="A114" s="30"/>
    </row>
  </sheetData>
  <phoneticPr fontId="0" type="noConversion"/>
  <dataValidations count="5">
    <dataValidation type="whole" operator="greaterThanOrEqual" allowBlank="1" showInputMessage="1" showErrorMessage="1" sqref="B12:B14">
      <formula1>0</formula1>
    </dataValidation>
    <dataValidation type="list" showDropDown="1" showInputMessage="1" showErrorMessage="1" sqref="B10">
      <formula1>"s, S, M, m, H, h"</formula1>
    </dataValidation>
    <dataValidation type="list" showDropDown="1" showInputMessage="1" showErrorMessage="1" sqref="B11">
      <formula1>"S, M, H, B, s, m, h, b"</formula1>
    </dataValidation>
    <dataValidation type="list" showDropDown="1" showInputMessage="1" showErrorMessage="1" sqref="B2">
      <formula1>"Y, N, y, n"</formula1>
    </dataValidation>
    <dataValidation type="list" showDropDown="1" showInputMessage="1" showErrorMessage="1" sqref="B19:B22">
      <formula1>"Y, y, N, n"</formula1>
    </dataValidation>
  </dataValidations>
  <printOptions gridLines="1" gridLinesSet="0"/>
  <pageMargins left="0.5" right="0.5" top="0.5" bottom="0.5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>
    <pageSetUpPr autoPageBreaks="0"/>
  </sheetPr>
  <dimension ref="A1:B111"/>
  <sheetViews>
    <sheetView zoomScale="85" zoomScaleNormal="85" workbookViewId="0"/>
  </sheetViews>
  <sheetFormatPr defaultColWidth="12.6640625" defaultRowHeight="15" x14ac:dyDescent="0.2"/>
  <cols>
    <col min="1" max="1" width="70.33203125" style="19" customWidth="1"/>
    <col min="2" max="2" width="12.5546875" customWidth="1"/>
  </cols>
  <sheetData>
    <row r="1" spans="1:2" ht="15.75" x14ac:dyDescent="0.25">
      <c r="A1" s="1" t="s">
        <v>153</v>
      </c>
    </row>
    <row r="2" spans="1:2" ht="31.5" x14ac:dyDescent="0.25">
      <c r="A2" s="65" t="s">
        <v>136</v>
      </c>
      <c r="B2" s="78" t="str">
        <f>TAX2018A!B2</f>
        <v>N</v>
      </c>
    </row>
    <row r="3" spans="1:2" ht="15.75" x14ac:dyDescent="0.25">
      <c r="A3" s="2" t="s">
        <v>68</v>
      </c>
      <c r="B3" s="79">
        <f>TAX2018A!B3</f>
        <v>24</v>
      </c>
    </row>
    <row r="4" spans="1:2" ht="15.75" x14ac:dyDescent="0.25">
      <c r="A4" s="2" t="s">
        <v>71</v>
      </c>
      <c r="B4" s="83">
        <v>0</v>
      </c>
    </row>
    <row r="5" spans="1:2" ht="15.75" x14ac:dyDescent="0.25">
      <c r="A5" s="2" t="s">
        <v>137</v>
      </c>
      <c r="B5" s="80">
        <f>TAX2018A!B5</f>
        <v>0</v>
      </c>
    </row>
    <row r="6" spans="1:2" ht="15.75" x14ac:dyDescent="0.25">
      <c r="A6" s="2" t="s">
        <v>72</v>
      </c>
      <c r="B6" s="109">
        <f>TAX2018A!B6</f>
        <v>0</v>
      </c>
    </row>
    <row r="7" spans="1:2" ht="15.75" x14ac:dyDescent="0.25">
      <c r="A7" s="2" t="s">
        <v>109</v>
      </c>
      <c r="B7" s="36">
        <f>TAX2018A!B7</f>
        <v>0</v>
      </c>
    </row>
    <row r="8" spans="1:2" ht="15.75" x14ac:dyDescent="0.25">
      <c r="A8" s="2" t="s">
        <v>134</v>
      </c>
      <c r="B8" s="64" t="str">
        <f>TAX2018A!B8</f>
        <v>.</v>
      </c>
    </row>
    <row r="9" spans="1:2" ht="15.75" x14ac:dyDescent="0.25">
      <c r="A9" s="2" t="s">
        <v>135</v>
      </c>
      <c r="B9" s="64">
        <f>TAX2018A!B9</f>
        <v>0</v>
      </c>
    </row>
    <row r="10" spans="1:2" ht="15.75" x14ac:dyDescent="0.25">
      <c r="A10" s="2" t="s">
        <v>32</v>
      </c>
      <c r="B10" s="78" t="str">
        <f>TAX2018A!B10</f>
        <v>S</v>
      </c>
    </row>
    <row r="11" spans="1:2" ht="15.75" x14ac:dyDescent="0.25">
      <c r="A11" s="2" t="s">
        <v>128</v>
      </c>
      <c r="B11" s="81" t="str">
        <f>TAX2018A!B11</f>
        <v>S</v>
      </c>
    </row>
    <row r="12" spans="1:2" ht="15.75" x14ac:dyDescent="0.25">
      <c r="A12" s="4" t="s">
        <v>104</v>
      </c>
      <c r="B12" s="79">
        <f>TAX2018A!B12</f>
        <v>0</v>
      </c>
    </row>
    <row r="13" spans="1:2" ht="15.75" x14ac:dyDescent="0.25">
      <c r="A13" s="4" t="s">
        <v>36</v>
      </c>
      <c r="B13" s="79">
        <f>TAX2018A!B13</f>
        <v>0</v>
      </c>
    </row>
    <row r="14" spans="1:2" ht="15.75" x14ac:dyDescent="0.25">
      <c r="A14" s="2" t="s">
        <v>141</v>
      </c>
      <c r="B14" s="79">
        <f>TAX2018A!B14</f>
        <v>0</v>
      </c>
    </row>
    <row r="15" spans="1:2" ht="15.75" x14ac:dyDescent="0.25">
      <c r="A15" s="31" t="s">
        <v>86</v>
      </c>
      <c r="B15" s="82">
        <f>TAX2018A!B15</f>
        <v>0</v>
      </c>
    </row>
    <row r="16" spans="1:2" ht="15.75" x14ac:dyDescent="0.25">
      <c r="A16" s="2" t="s">
        <v>0</v>
      </c>
      <c r="B16" s="82">
        <f>TAX2018A!B16</f>
        <v>0</v>
      </c>
    </row>
    <row r="17" spans="1:2" ht="15.75" x14ac:dyDescent="0.25">
      <c r="A17" s="2" t="s">
        <v>1</v>
      </c>
      <c r="B17" s="84">
        <f>TAX2018A!B17</f>
        <v>0</v>
      </c>
    </row>
    <row r="18" spans="1:2" ht="15.75" x14ac:dyDescent="0.25">
      <c r="A18" s="2" t="s">
        <v>2</v>
      </c>
      <c r="B18" s="84">
        <f>TAX2018A!B18</f>
        <v>0</v>
      </c>
    </row>
    <row r="19" spans="1:2" ht="15.75" x14ac:dyDescent="0.25">
      <c r="A19" s="31" t="s">
        <v>62</v>
      </c>
      <c r="B19" s="81" t="str">
        <f>TAX2018A!B19</f>
        <v>Y</v>
      </c>
    </row>
    <row r="20" spans="1:2" ht="15.75" x14ac:dyDescent="0.25">
      <c r="A20" s="2" t="s">
        <v>3</v>
      </c>
      <c r="B20" s="81" t="str">
        <f>TAX2018A!B20</f>
        <v>Y</v>
      </c>
    </row>
    <row r="21" spans="1:2" ht="15.75" x14ac:dyDescent="0.25">
      <c r="A21" s="2" t="s">
        <v>4</v>
      </c>
      <c r="B21" s="81" t="str">
        <f>TAX2018A!B21</f>
        <v>N</v>
      </c>
    </row>
    <row r="22" spans="1:2" ht="15.75" x14ac:dyDescent="0.25">
      <c r="A22" s="2" t="s">
        <v>5</v>
      </c>
      <c r="B22" s="81" t="str">
        <f>TAX2018A!B22</f>
        <v>N</v>
      </c>
    </row>
    <row r="23" spans="1:2" s="108" customFormat="1" ht="15.75" x14ac:dyDescent="0.25">
      <c r="A23" s="106" t="s">
        <v>142</v>
      </c>
      <c r="B23" s="107" t="str">
        <f>IF(B27&gt;-9800, "OK","WARNING")</f>
        <v>OK</v>
      </c>
    </row>
    <row r="24" spans="1:2" ht="15.75" x14ac:dyDescent="0.25">
      <c r="A24" s="20" t="s">
        <v>6</v>
      </c>
      <c r="B24" s="6"/>
    </row>
    <row r="25" spans="1:2" ht="15.75" x14ac:dyDescent="0.25">
      <c r="A25" s="2"/>
      <c r="B25" s="6"/>
    </row>
    <row r="26" spans="1:2" ht="15.75" x14ac:dyDescent="0.25">
      <c r="A26" s="2" t="s">
        <v>7</v>
      </c>
      <c r="B26" s="7">
        <f>(B4+B9)*B3</f>
        <v>0</v>
      </c>
    </row>
    <row r="27" spans="1:2" ht="15.75" x14ac:dyDescent="0.25">
      <c r="A27" s="2" t="s">
        <v>139</v>
      </c>
      <c r="B27" s="7">
        <f>ROUND(IF(B2="N",0,(-(B4-B5)*0.04*B3)),2)</f>
        <v>0</v>
      </c>
    </row>
    <row r="28" spans="1:2" ht="15.75" x14ac:dyDescent="0.25">
      <c r="A28" s="2" t="s">
        <v>8</v>
      </c>
      <c r="B28" s="7">
        <f>-(B6+B7)*B3</f>
        <v>0</v>
      </c>
    </row>
    <row r="29" spans="1:2" ht="15.75" x14ac:dyDescent="0.25">
      <c r="A29" s="2" t="s">
        <v>9</v>
      </c>
      <c r="B29" s="7">
        <f>-B12*Formulas!B4</f>
        <v>0</v>
      </c>
    </row>
    <row r="30" spans="1:2" ht="15.75" x14ac:dyDescent="0.25">
      <c r="A30" s="2"/>
      <c r="B30" s="5"/>
    </row>
    <row r="31" spans="1:2" ht="15.75" x14ac:dyDescent="0.25">
      <c r="A31" s="2" t="s">
        <v>10</v>
      </c>
      <c r="B31" s="7">
        <f>SUM(B26:B29)</f>
        <v>0</v>
      </c>
    </row>
    <row r="32" spans="1:2" ht="15.75" x14ac:dyDescent="0.25">
      <c r="A32" s="2"/>
      <c r="B32" s="5"/>
    </row>
    <row r="33" spans="1:2" ht="15.75" x14ac:dyDescent="0.25">
      <c r="A33" s="2" t="s">
        <v>11</v>
      </c>
      <c r="B33" s="7">
        <f>Formulas!J7</f>
        <v>0</v>
      </c>
    </row>
    <row r="34" spans="1:2" ht="15.75" x14ac:dyDescent="0.25">
      <c r="A34" s="2"/>
      <c r="B34" s="5"/>
    </row>
    <row r="35" spans="1:2" ht="15.75" x14ac:dyDescent="0.25">
      <c r="A35" s="2" t="s">
        <v>70</v>
      </c>
      <c r="B35" s="34">
        <f>B33/B3</f>
        <v>0</v>
      </c>
    </row>
    <row r="36" spans="1:2" ht="15.75" x14ac:dyDescent="0.25">
      <c r="A36" s="2" t="s">
        <v>73</v>
      </c>
      <c r="B36" s="7">
        <f>(B4-B6-B7-B35-B53-B65-B67-B78-B81)*B15</f>
        <v>0</v>
      </c>
    </row>
    <row r="37" spans="1:2" ht="15.75" x14ac:dyDescent="0.25">
      <c r="A37" s="2" t="s">
        <v>74</v>
      </c>
      <c r="B37" s="7">
        <f>B17</f>
        <v>0</v>
      </c>
    </row>
    <row r="38" spans="1:2" ht="15.75" x14ac:dyDescent="0.25">
      <c r="A38" s="2"/>
      <c r="B38" s="8" t="s">
        <v>12</v>
      </c>
    </row>
    <row r="39" spans="1:2" ht="15.75" x14ac:dyDescent="0.25">
      <c r="A39" s="2" t="s">
        <v>69</v>
      </c>
      <c r="B39" s="9">
        <f>SUM(B35:B37)</f>
        <v>0</v>
      </c>
    </row>
    <row r="40" spans="1:2" ht="15.75" x14ac:dyDescent="0.25">
      <c r="A40" s="2"/>
      <c r="B40" s="6"/>
    </row>
    <row r="41" spans="1:2" ht="15.75" x14ac:dyDescent="0.25">
      <c r="A41" s="20" t="s">
        <v>13</v>
      </c>
      <c r="B41" s="10"/>
    </row>
    <row r="42" spans="1:2" ht="15.75" x14ac:dyDescent="0.25">
      <c r="A42" s="2"/>
      <c r="B42" s="10"/>
    </row>
    <row r="43" spans="1:2" ht="15.75" x14ac:dyDescent="0.25">
      <c r="A43" s="2" t="s">
        <v>7</v>
      </c>
      <c r="B43" s="7">
        <f>(B4+B9)*B3</f>
        <v>0</v>
      </c>
    </row>
    <row r="44" spans="1:2" ht="15.75" x14ac:dyDescent="0.25">
      <c r="A44" s="2" t="s">
        <v>139</v>
      </c>
      <c r="B44" s="7">
        <f>ROUND(IF(B2="N",0,(-(B4-B5)*0.04*B3)),2)</f>
        <v>0</v>
      </c>
    </row>
    <row r="45" spans="1:2" ht="15.75" x14ac:dyDescent="0.25">
      <c r="A45" s="2" t="s">
        <v>8</v>
      </c>
      <c r="B45" s="7">
        <f>-((B6+B7)*B3)</f>
        <v>0</v>
      </c>
    </row>
    <row r="46" spans="1:2" ht="15.75" x14ac:dyDescent="0.25">
      <c r="A46" s="2" t="s">
        <v>14</v>
      </c>
      <c r="B46" s="27">
        <f>Formulas!H30</f>
        <v>-12000</v>
      </c>
    </row>
    <row r="47" spans="1:2" ht="15.75" x14ac:dyDescent="0.25">
      <c r="A47" s="2" t="s">
        <v>15</v>
      </c>
      <c r="B47" s="7">
        <f>-Formulas!H36</f>
        <v>0</v>
      </c>
    </row>
    <row r="48" spans="1:2" ht="15.75" x14ac:dyDescent="0.25">
      <c r="A48" s="2" t="s">
        <v>16</v>
      </c>
      <c r="B48" s="7">
        <f>IF(B33&lt;Formulas!H75,-B33,-Formulas!H75)</f>
        <v>0</v>
      </c>
    </row>
    <row r="49" spans="1:2" ht="15.75" x14ac:dyDescent="0.25">
      <c r="A49" s="2"/>
      <c r="B49" s="11" t="s">
        <v>12</v>
      </c>
    </row>
    <row r="50" spans="1:2" ht="15.75" x14ac:dyDescent="0.25">
      <c r="A50" s="2" t="s">
        <v>17</v>
      </c>
      <c r="B50" s="7">
        <f>IF(SUM(B43:B48)&lt;0,0,SUM(B43:B48))</f>
        <v>0</v>
      </c>
    </row>
    <row r="51" spans="1:2" ht="15.75" x14ac:dyDescent="0.25">
      <c r="A51" s="2"/>
      <c r="B51" s="12"/>
    </row>
    <row r="52" spans="1:2" ht="15.75" x14ac:dyDescent="0.25">
      <c r="A52" s="2" t="s">
        <v>18</v>
      </c>
      <c r="B52" s="7">
        <f>ROUND(Formulas!J56,0)</f>
        <v>0</v>
      </c>
    </row>
    <row r="53" spans="1:2" ht="15.75" x14ac:dyDescent="0.25">
      <c r="A53" s="2" t="s">
        <v>75</v>
      </c>
      <c r="B53" s="49">
        <f>ROUND(B52/B3,0)</f>
        <v>0</v>
      </c>
    </row>
    <row r="54" spans="1:2" ht="15.75" x14ac:dyDescent="0.25">
      <c r="A54" s="2" t="s">
        <v>76</v>
      </c>
      <c r="B54" s="7">
        <f>(B4-B6-B7-B35-B53-B65-B67)*B16</f>
        <v>0</v>
      </c>
    </row>
    <row r="55" spans="1:2" ht="15.75" x14ac:dyDescent="0.25">
      <c r="A55" s="2" t="s">
        <v>77</v>
      </c>
      <c r="B55" s="7">
        <f>B18</f>
        <v>0</v>
      </c>
    </row>
    <row r="56" spans="1:2" ht="15.75" x14ac:dyDescent="0.25">
      <c r="A56" s="2"/>
      <c r="B56" s="12"/>
    </row>
    <row r="57" spans="1:2" ht="15.75" x14ac:dyDescent="0.25">
      <c r="A57" s="2" t="s">
        <v>78</v>
      </c>
      <c r="B57" s="9">
        <f>IF(B53&gt;=0,B53+B54+B55,B54+B55)</f>
        <v>0</v>
      </c>
    </row>
    <row r="58" spans="1:2" ht="15.75" x14ac:dyDescent="0.25">
      <c r="A58" s="2"/>
      <c r="B58" s="2"/>
    </row>
    <row r="59" spans="1:2" ht="15.75" x14ac:dyDescent="0.25">
      <c r="A59" s="20" t="s">
        <v>19</v>
      </c>
      <c r="B59" s="6"/>
    </row>
    <row r="60" spans="1:2" ht="15.75" x14ac:dyDescent="0.25">
      <c r="A60" s="2"/>
      <c r="B60" s="10"/>
    </row>
    <row r="61" spans="1:2" ht="15.75" x14ac:dyDescent="0.25">
      <c r="A61" s="2" t="s">
        <v>79</v>
      </c>
      <c r="B61" s="7">
        <f>B4+B8+B9</f>
        <v>0</v>
      </c>
    </row>
    <row r="62" spans="1:2" ht="15.75" x14ac:dyDescent="0.25">
      <c r="A62" s="2" t="s">
        <v>80</v>
      </c>
      <c r="B62" s="7">
        <f>-B7</f>
        <v>0</v>
      </c>
    </row>
    <row r="63" spans="1:2" ht="15.75" x14ac:dyDescent="0.25">
      <c r="A63" s="2" t="s">
        <v>81</v>
      </c>
      <c r="B63" s="7">
        <f>B61+B62</f>
        <v>0</v>
      </c>
    </row>
    <row r="64" spans="1:2" ht="15.75" x14ac:dyDescent="0.25">
      <c r="A64" s="2"/>
      <c r="B64" s="6"/>
    </row>
    <row r="65" spans="1:2" ht="15.75" x14ac:dyDescent="0.25">
      <c r="A65" s="2" t="s">
        <v>20</v>
      </c>
      <c r="B65" s="9">
        <f>IF(B19="Y",B63*Formulas!B79,0)</f>
        <v>0</v>
      </c>
    </row>
    <row r="66" spans="1:2" ht="15.75" x14ac:dyDescent="0.25">
      <c r="A66" s="2"/>
      <c r="B66" s="6"/>
    </row>
    <row r="67" spans="1:2" ht="15.75" x14ac:dyDescent="0.25">
      <c r="A67" s="2" t="s">
        <v>21</v>
      </c>
      <c r="B67" s="76">
        <f>IF(B20="Y",B63*Formulas!B80,0)</f>
        <v>0</v>
      </c>
    </row>
    <row r="68" spans="1:2" ht="15.75" x14ac:dyDescent="0.25">
      <c r="A68" s="2"/>
      <c r="B68" s="12"/>
    </row>
    <row r="69" spans="1:2" ht="15.75" x14ac:dyDescent="0.25">
      <c r="A69" s="2" t="str">
        <f>Formulas!A91</f>
        <v>NOTE:  2018 MAXIMUM OASDI TAXABLE WAGE IS $127,200.00</v>
      </c>
      <c r="B69" s="35" t="str">
        <f>IF(B70&lt;=Formulas!B82,Formulas!A70,Formulas!A71)</f>
        <v>O.K.</v>
      </c>
    </row>
    <row r="70" spans="1:2" ht="15.75" x14ac:dyDescent="0.25">
      <c r="A70" s="2" t="s">
        <v>22</v>
      </c>
      <c r="B70" s="13">
        <f>(B63)*B3</f>
        <v>0</v>
      </c>
    </row>
    <row r="71" spans="1:2" ht="15.75" x14ac:dyDescent="0.25">
      <c r="A71" s="2"/>
      <c r="B71" s="69"/>
    </row>
    <row r="72" spans="1:2" ht="15.75" x14ac:dyDescent="0.25">
      <c r="A72" s="2" t="str">
        <f>Formulas!A92</f>
        <v>NOTE:  2018 MEDICARE TAXABLE WAGE PERCENTAGE INCEASE AMOUNT IS $200,000</v>
      </c>
      <c r="B72" s="75" t="str">
        <f>IF(B73&lt;=Formulas!B83,Formulas!A70,Formulas!A71)</f>
        <v>O.K.</v>
      </c>
    </row>
    <row r="73" spans="1:2" ht="15.75" x14ac:dyDescent="0.25">
      <c r="A73" s="2" t="s">
        <v>145</v>
      </c>
      <c r="B73" s="74">
        <f>B63*B3</f>
        <v>0</v>
      </c>
    </row>
    <row r="74" spans="1:2" ht="15.75" x14ac:dyDescent="0.25">
      <c r="A74" s="21"/>
      <c r="B74" s="10"/>
    </row>
    <row r="75" spans="1:2" ht="15.75" x14ac:dyDescent="0.25">
      <c r="A75" s="20" t="s">
        <v>23</v>
      </c>
      <c r="B75" s="10"/>
    </row>
    <row r="76" spans="1:2" ht="15.75" x14ac:dyDescent="0.25">
      <c r="A76" s="2"/>
      <c r="B76" s="10"/>
    </row>
    <row r="77" spans="1:2" ht="15.75" x14ac:dyDescent="0.25">
      <c r="A77" s="2" t="s">
        <v>82</v>
      </c>
      <c r="B77" s="7">
        <f>(B4+B8+B9-B6-B7-(-B27))*Formulas!C86</f>
        <v>0</v>
      </c>
    </row>
    <row r="78" spans="1:2" ht="15.75" x14ac:dyDescent="0.25">
      <c r="A78" s="2" t="s">
        <v>83</v>
      </c>
      <c r="B78" s="9">
        <f>IF(B21="Y",B77*Formulas!B86,0)</f>
        <v>0</v>
      </c>
    </row>
    <row r="79" spans="1:2" ht="15.75" x14ac:dyDescent="0.25">
      <c r="A79" s="2"/>
      <c r="B79" s="10"/>
    </row>
    <row r="80" spans="1:2" ht="15.75" x14ac:dyDescent="0.25">
      <c r="A80" s="2" t="s">
        <v>84</v>
      </c>
      <c r="B80" s="7">
        <f>(B4+B8+B9-B6-B7-(-B27))*Formulas!C86</f>
        <v>0</v>
      </c>
    </row>
    <row r="81" spans="1:2" ht="15.75" x14ac:dyDescent="0.25">
      <c r="A81" s="2" t="s">
        <v>85</v>
      </c>
      <c r="B81" s="9">
        <f>IF(B22="Y",B80*Formulas!B87,0)</f>
        <v>0</v>
      </c>
    </row>
    <row r="82" spans="1:2" ht="15.75" x14ac:dyDescent="0.25">
      <c r="A82" s="2"/>
      <c r="B82" s="10"/>
    </row>
    <row r="83" spans="1:2" ht="15.75" x14ac:dyDescent="0.25">
      <c r="A83" s="50" t="s">
        <v>110</v>
      </c>
    </row>
    <row r="84" spans="1:2" ht="15.75" x14ac:dyDescent="0.25">
      <c r="A84" s="56"/>
    </row>
    <row r="85" spans="1:2" ht="15.75" x14ac:dyDescent="0.25">
      <c r="A85" s="52" t="s">
        <v>111</v>
      </c>
      <c r="B85" s="80">
        <f>TAX2018A!B85</f>
        <v>0</v>
      </c>
    </row>
    <row r="86" spans="1:2" ht="15.75" x14ac:dyDescent="0.25">
      <c r="A86" s="52" t="s">
        <v>112</v>
      </c>
      <c r="B86" s="80">
        <f>TAX2018A!B86</f>
        <v>0</v>
      </c>
    </row>
    <row r="87" spans="1:2" ht="15.75" x14ac:dyDescent="0.25">
      <c r="B87" s="80">
        <f>TAX2018A!B87</f>
        <v>0</v>
      </c>
    </row>
    <row r="88" spans="1:2" ht="15.75" x14ac:dyDescent="0.25">
      <c r="B88" s="80">
        <f>TAX2018A!B88</f>
        <v>0</v>
      </c>
    </row>
    <row r="89" spans="1:2" ht="15.75" x14ac:dyDescent="0.25">
      <c r="B89" s="80">
        <f>TAX2018A!B89</f>
        <v>0</v>
      </c>
    </row>
    <row r="90" spans="1:2" ht="15.75" x14ac:dyDescent="0.25">
      <c r="B90" s="80">
        <f>TAX2018A!B90</f>
        <v>0</v>
      </c>
    </row>
    <row r="91" spans="1:2" ht="15.75" x14ac:dyDescent="0.25">
      <c r="B91" s="80">
        <f>TAX2018A!B91</f>
        <v>0</v>
      </c>
    </row>
    <row r="92" spans="1:2" ht="15.75" x14ac:dyDescent="0.25">
      <c r="B92" s="80">
        <f>TAX2018A!B92</f>
        <v>0</v>
      </c>
    </row>
    <row r="93" spans="1:2" ht="15.75" x14ac:dyDescent="0.25">
      <c r="B93" s="80">
        <f>TAX2018A!B93</f>
        <v>0</v>
      </c>
    </row>
    <row r="94" spans="1:2" ht="15.75" x14ac:dyDescent="0.25">
      <c r="B94" s="80">
        <f>TAX2018A!B94</f>
        <v>0</v>
      </c>
    </row>
    <row r="95" spans="1:2" ht="15.75" x14ac:dyDescent="0.25">
      <c r="A95" s="30" t="s">
        <v>113</v>
      </c>
      <c r="B95" s="9">
        <f>SUM(B85:B94)</f>
        <v>0</v>
      </c>
    </row>
    <row r="97" spans="1:2" ht="15.75" x14ac:dyDescent="0.25">
      <c r="A97" s="50" t="s">
        <v>114</v>
      </c>
    </row>
    <row r="98" spans="1:2" ht="15.75" x14ac:dyDescent="0.25">
      <c r="A98" s="56"/>
    </row>
    <row r="99" spans="1:2" ht="15.75" x14ac:dyDescent="0.25">
      <c r="A99" s="30" t="s">
        <v>115</v>
      </c>
      <c r="B99" s="53">
        <f>B4</f>
        <v>0</v>
      </c>
    </row>
    <row r="100" spans="1:2" ht="15.75" x14ac:dyDescent="0.25">
      <c r="A100" s="30" t="s">
        <v>119</v>
      </c>
      <c r="B100" s="54">
        <f>B4-B7</f>
        <v>0</v>
      </c>
    </row>
    <row r="101" spans="1:2" ht="15.75" x14ac:dyDescent="0.25">
      <c r="A101" s="30" t="s">
        <v>118</v>
      </c>
      <c r="B101" s="54">
        <f>B4-B6-B7</f>
        <v>0</v>
      </c>
    </row>
    <row r="102" spans="1:2" ht="15.75" x14ac:dyDescent="0.25">
      <c r="A102" s="30" t="s">
        <v>116</v>
      </c>
      <c r="B102" s="54">
        <f>-B7</f>
        <v>0</v>
      </c>
    </row>
    <row r="103" spans="1:2" ht="15.75" x14ac:dyDescent="0.25">
      <c r="A103" s="30" t="s">
        <v>123</v>
      </c>
      <c r="B103" s="54">
        <f>-B65</f>
        <v>0</v>
      </c>
    </row>
    <row r="104" spans="1:2" ht="15.75" x14ac:dyDescent="0.25">
      <c r="A104" s="30" t="s">
        <v>55</v>
      </c>
      <c r="B104" s="54">
        <f>-B67</f>
        <v>0</v>
      </c>
    </row>
    <row r="105" spans="1:2" ht="15.75" x14ac:dyDescent="0.25">
      <c r="A105" s="30" t="s">
        <v>140</v>
      </c>
      <c r="B105" s="54">
        <f>B27/B3</f>
        <v>0</v>
      </c>
    </row>
    <row r="106" spans="1:2" ht="15.75" x14ac:dyDescent="0.25">
      <c r="A106" s="30" t="s">
        <v>117</v>
      </c>
      <c r="B106" s="54">
        <f>-B6</f>
        <v>0</v>
      </c>
    </row>
    <row r="107" spans="1:2" ht="15.75" x14ac:dyDescent="0.25">
      <c r="A107" s="30" t="s">
        <v>120</v>
      </c>
      <c r="B107" s="54">
        <f>-B39</f>
        <v>0</v>
      </c>
    </row>
    <row r="108" spans="1:2" ht="15.75" x14ac:dyDescent="0.25">
      <c r="A108" s="30" t="s">
        <v>121</v>
      </c>
      <c r="B108" s="54">
        <f>-B57</f>
        <v>0</v>
      </c>
    </row>
    <row r="109" spans="1:2" ht="15.75" x14ac:dyDescent="0.25">
      <c r="A109" s="30" t="s">
        <v>122</v>
      </c>
      <c r="B109" s="54">
        <f>-(B78+B81)</f>
        <v>0</v>
      </c>
    </row>
    <row r="110" spans="1:2" ht="15.75" x14ac:dyDescent="0.25">
      <c r="A110" s="30" t="s">
        <v>124</v>
      </c>
      <c r="B110" s="55">
        <f>-B95</f>
        <v>0</v>
      </c>
    </row>
    <row r="111" spans="1:2" ht="15.75" x14ac:dyDescent="0.25">
      <c r="A111" s="30" t="s">
        <v>125</v>
      </c>
      <c r="B111" s="63">
        <f>B99+SUM(B102:B110)</f>
        <v>0</v>
      </c>
    </row>
  </sheetData>
  <phoneticPr fontId="0" type="noConversion"/>
  <dataValidations count="1">
    <dataValidation type="whole" operator="greaterThanOrEqual" allowBlank="1" showInputMessage="1" showErrorMessage="1" sqref="B12:B14">
      <formula1>0</formula1>
    </dataValidation>
  </dataValidations>
  <printOptions gridLines="1" gridLinesSet="0"/>
  <pageMargins left="0.5" right="0.5" top="0.5" bottom="0.5" header="0.5" footer="0.5"/>
  <pageSetup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3"/>
  <sheetViews>
    <sheetView workbookViewId="0"/>
  </sheetViews>
  <sheetFormatPr defaultRowHeight="15" x14ac:dyDescent="0.2"/>
  <cols>
    <col min="1" max="1" width="18.109375" customWidth="1"/>
    <col min="2" max="5" width="12.5546875" bestFit="1" customWidth="1"/>
  </cols>
  <sheetData>
    <row r="1" spans="1:5" ht="15.75" x14ac:dyDescent="0.25">
      <c r="B1" s="61" t="s">
        <v>133</v>
      </c>
      <c r="C1" s="37" t="s">
        <v>130</v>
      </c>
      <c r="D1" s="62" t="s">
        <v>131</v>
      </c>
      <c r="E1" s="38" t="s">
        <v>132</v>
      </c>
    </row>
    <row r="2" spans="1:5" ht="15.75" x14ac:dyDescent="0.25">
      <c r="A2" s="39" t="s">
        <v>95</v>
      </c>
      <c r="B2" s="29">
        <f>+TAX2018B!B39-TAX2018A!B39</f>
        <v>0</v>
      </c>
      <c r="C2" s="40">
        <f>+B2*2</f>
        <v>0</v>
      </c>
      <c r="D2" s="26">
        <f>+B2*3</f>
        <v>0</v>
      </c>
      <c r="E2" s="46">
        <f>+B2*4</f>
        <v>0</v>
      </c>
    </row>
    <row r="3" spans="1:5" ht="15.75" x14ac:dyDescent="0.25">
      <c r="A3" s="39" t="s">
        <v>96</v>
      </c>
      <c r="B3" s="29">
        <f>+TAX2018B!B57-TAX2018A!B57</f>
        <v>0</v>
      </c>
      <c r="C3" s="40">
        <f>+B3*2</f>
        <v>0</v>
      </c>
      <c r="D3" s="26">
        <f>+B3*3</f>
        <v>0</v>
      </c>
      <c r="E3" s="46">
        <f>+B3*4</f>
        <v>0</v>
      </c>
    </row>
    <row r="4" spans="1:5" ht="15.75" x14ac:dyDescent="0.25">
      <c r="A4" s="39" t="s">
        <v>97</v>
      </c>
      <c r="B4" s="29">
        <f>+TAX2018B!B65-TAX2018A!B65</f>
        <v>0</v>
      </c>
      <c r="C4" s="40">
        <f>+B4*2</f>
        <v>0</v>
      </c>
      <c r="D4" s="26">
        <f>+B4*3</f>
        <v>0</v>
      </c>
      <c r="E4" s="46">
        <f>+B4*4</f>
        <v>0</v>
      </c>
    </row>
    <row r="5" spans="1:5" ht="15.75" x14ac:dyDescent="0.25">
      <c r="A5" s="51" t="s">
        <v>98</v>
      </c>
      <c r="B5" s="29">
        <f>+TAX2018B!B67-TAX2018A!B67</f>
        <v>0</v>
      </c>
      <c r="C5" s="40">
        <f>+B5*2</f>
        <v>0</v>
      </c>
      <c r="D5" s="26">
        <f>+B5*3</f>
        <v>0</v>
      </c>
      <c r="E5" s="46">
        <f>+B5*4</f>
        <v>0</v>
      </c>
    </row>
    <row r="6" spans="1:5" ht="15.75" x14ac:dyDescent="0.25">
      <c r="C6" s="41"/>
      <c r="D6" s="42"/>
      <c r="E6" s="47"/>
    </row>
    <row r="7" spans="1:5" ht="15.75" x14ac:dyDescent="0.25">
      <c r="A7" s="39" t="s">
        <v>99</v>
      </c>
      <c r="B7" s="29">
        <f>+TAX2018A!B7-TAX2018B!B7</f>
        <v>0</v>
      </c>
      <c r="C7" s="40">
        <f>+B7*2</f>
        <v>0</v>
      </c>
      <c r="D7" s="26">
        <f>+B7*3</f>
        <v>0</v>
      </c>
      <c r="E7" s="46">
        <f>+B7*4</f>
        <v>0</v>
      </c>
    </row>
    <row r="10" spans="1:5" ht="15.75" x14ac:dyDescent="0.25">
      <c r="B10" s="43" t="s">
        <v>100</v>
      </c>
      <c r="C10" s="44" t="s">
        <v>31</v>
      </c>
      <c r="D10" s="43" t="s">
        <v>101</v>
      </c>
      <c r="E10" s="44" t="s">
        <v>102</v>
      </c>
    </row>
    <row r="11" spans="1:5" ht="15.75" x14ac:dyDescent="0.25">
      <c r="A11" s="39" t="s">
        <v>103</v>
      </c>
      <c r="B11" s="48">
        <f>+B2+B3+B4+B5</f>
        <v>0</v>
      </c>
      <c r="C11" s="48">
        <f>+C2+C3+C4+C5</f>
        <v>0</v>
      </c>
      <c r="D11" s="48">
        <f>+D2+D3+D4+D5</f>
        <v>0</v>
      </c>
      <c r="E11" s="48">
        <f>+E2+E3+E4+E5</f>
        <v>0</v>
      </c>
    </row>
    <row r="13" spans="1:5" ht="15.75" x14ac:dyDescent="0.25">
      <c r="A13" s="45" t="str">
        <f>Formulas!A91</f>
        <v>NOTE:  2018 MAXIMUM OASDI TAXABLE WAGE IS $127,200.00</v>
      </c>
      <c r="B13" s="45"/>
      <c r="C13" s="45"/>
      <c r="D13" s="45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autoPageBreaks="0"/>
  </sheetPr>
  <dimension ref="A1:K147"/>
  <sheetViews>
    <sheetView topLeftCell="A25" zoomScale="70" zoomScaleNormal="70" workbookViewId="0">
      <selection activeCell="B34" sqref="B34"/>
    </sheetView>
  </sheetViews>
  <sheetFormatPr defaultColWidth="12.6640625" defaultRowHeight="15" x14ac:dyDescent="0.2"/>
  <cols>
    <col min="1" max="1" width="78.88671875" style="101" bestFit="1" customWidth="1"/>
    <col min="2" max="2" width="13.21875" style="58" customWidth="1"/>
    <col min="3" max="6" width="13.6640625" style="58" customWidth="1"/>
    <col min="7" max="7" width="14.44140625" style="58" customWidth="1"/>
    <col min="8" max="11" width="12.77734375" style="58" customWidth="1"/>
    <col min="12" max="16384" width="12.6640625" style="58"/>
  </cols>
  <sheetData>
    <row r="1" spans="1:11" ht="15.75" x14ac:dyDescent="0.25">
      <c r="A1" s="57" t="s">
        <v>148</v>
      </c>
    </row>
    <row r="2" spans="1:11" ht="15.75" x14ac:dyDescent="0.25">
      <c r="A2" s="85" t="s">
        <v>29</v>
      </c>
      <c r="B2" s="15"/>
    </row>
    <row r="3" spans="1:11" ht="15.75" x14ac:dyDescent="0.25">
      <c r="A3" s="58"/>
      <c r="B3" s="15"/>
    </row>
    <row r="4" spans="1:11" ht="15.75" x14ac:dyDescent="0.25">
      <c r="A4" s="2" t="s">
        <v>45</v>
      </c>
      <c r="B4" s="92">
        <v>4150</v>
      </c>
    </row>
    <row r="5" spans="1:11" ht="15.75" x14ac:dyDescent="0.25">
      <c r="A5" s="2"/>
      <c r="B5" s="15"/>
    </row>
    <row r="6" spans="1:11" ht="15.75" x14ac:dyDescent="0.25">
      <c r="A6" s="4" t="s">
        <v>42</v>
      </c>
      <c r="B6" s="15"/>
      <c r="H6" s="59" t="s">
        <v>151</v>
      </c>
      <c r="I6" s="60" t="s">
        <v>151</v>
      </c>
      <c r="J6" s="59" t="s">
        <v>152</v>
      </c>
      <c r="K6" s="60" t="s">
        <v>152</v>
      </c>
    </row>
    <row r="7" spans="1:11" ht="15.75" x14ac:dyDescent="0.25">
      <c r="A7" s="4" t="s">
        <v>40</v>
      </c>
      <c r="B7" s="93"/>
      <c r="C7" s="93"/>
      <c r="D7" s="93"/>
      <c r="E7" s="93"/>
      <c r="F7" s="93"/>
      <c r="G7" s="93"/>
      <c r="H7" s="94">
        <f>IF(TAX2018A!B10="S",H9,I7)</f>
        <v>0</v>
      </c>
      <c r="I7" s="94" t="str">
        <f>IF(TAX2018A!B10="H",I9,H17)</f>
        <v>ERR</v>
      </c>
      <c r="J7" s="94">
        <f>IF(TAX2018B!B10="S",J9,K7)</f>
        <v>0</v>
      </c>
      <c r="K7" s="94" t="str">
        <f>IF(TAX2018B!B10="H",K9,J17)</f>
        <v>ERR</v>
      </c>
    </row>
    <row r="8" spans="1:11" ht="15.75" x14ac:dyDescent="0.25">
      <c r="A8" s="33" t="s">
        <v>61</v>
      </c>
      <c r="B8" s="85" t="s">
        <v>67</v>
      </c>
      <c r="C8" s="86" t="s">
        <v>66</v>
      </c>
      <c r="D8" s="87" t="s">
        <v>65</v>
      </c>
      <c r="E8" s="87" t="s">
        <v>64</v>
      </c>
      <c r="F8" s="87" t="s">
        <v>63</v>
      </c>
      <c r="H8" s="59" t="s">
        <v>33</v>
      </c>
      <c r="I8" s="59" t="s">
        <v>53</v>
      </c>
      <c r="J8" s="59" t="s">
        <v>33</v>
      </c>
      <c r="K8" s="59" t="s">
        <v>53</v>
      </c>
    </row>
    <row r="9" spans="1:11" ht="15.75" x14ac:dyDescent="0.25">
      <c r="A9" s="21"/>
      <c r="B9" s="88">
        <v>0</v>
      </c>
      <c r="C9" s="88">
        <v>3700</v>
      </c>
      <c r="D9" s="89">
        <v>0</v>
      </c>
      <c r="E9" s="90"/>
      <c r="F9" s="90"/>
      <c r="H9" s="21">
        <f>IF(TAX2018A!B31&lt;C9,D9,H10)</f>
        <v>0</v>
      </c>
      <c r="I9" s="21">
        <f>IF(TAX2018A!B31&lt;C9,D9,I10)</f>
        <v>0</v>
      </c>
      <c r="J9" s="21">
        <f>IF(TAX2018B!B31&lt;C9,D9,J10)</f>
        <v>0</v>
      </c>
      <c r="K9" s="21">
        <f>IF(TAX2018B!B31&lt;C9,D9,K10)</f>
        <v>0</v>
      </c>
    </row>
    <row r="10" spans="1:11" ht="15.75" x14ac:dyDescent="0.25">
      <c r="A10" s="21"/>
      <c r="B10" s="88">
        <v>3700</v>
      </c>
      <c r="C10" s="88">
        <v>13225</v>
      </c>
      <c r="D10" s="89">
        <v>0</v>
      </c>
      <c r="E10" s="90">
        <v>0.1</v>
      </c>
      <c r="F10" s="89">
        <f t="shared" ref="F10:F15" si="0">B10</f>
        <v>3700</v>
      </c>
      <c r="H10" s="21">
        <f>IF(TAX2018A!B31&lt;C10,D10+E10*(TAX2018A!B31-F10),H11)</f>
        <v>-370</v>
      </c>
      <c r="I10" s="21">
        <f>IF(TAX2018A!B31&lt;C10,D10+E10*(TAX2018A!B31-F10),I11)</f>
        <v>-370</v>
      </c>
      <c r="J10" s="21">
        <f>IF(TAX2018B!B31&lt;C10,D10+E10*(TAX2018B!B31-F10),J11)</f>
        <v>-370</v>
      </c>
      <c r="K10" s="21">
        <f>IF(TAX2018B!B31&lt;C10,D10+E10*(TAX2018B!B31-F10),K11)</f>
        <v>-370</v>
      </c>
    </row>
    <row r="11" spans="1:11" ht="15.75" x14ac:dyDescent="0.25">
      <c r="A11" s="21"/>
      <c r="B11" s="88">
        <v>13225</v>
      </c>
      <c r="C11" s="88">
        <v>42400</v>
      </c>
      <c r="D11" s="89">
        <v>952.5</v>
      </c>
      <c r="E11" s="91">
        <v>0.12</v>
      </c>
      <c r="F11" s="89">
        <f t="shared" si="0"/>
        <v>13225</v>
      </c>
      <c r="H11" s="21">
        <f>IF(TAX2018A!B31&lt;C11,D11+E11*(TAX2018A!B31-F11),H12)</f>
        <v>-634.5</v>
      </c>
      <c r="I11" s="21">
        <f>IF(TAX2018A!B31&lt;C11,D11+E11*(TAX2018A!B31-F11),I12)</f>
        <v>-634.5</v>
      </c>
      <c r="J11" s="21">
        <f>IF(TAX2018B!B31&lt;C11,D11+E11*(TAX2018B!B31-F11),J12)</f>
        <v>-634.5</v>
      </c>
      <c r="K11" s="21">
        <f>IF(TAX2018B!B31&lt;C11,D11+E11*(TAX2018B!B31-F11),K12)</f>
        <v>-634.5</v>
      </c>
    </row>
    <row r="12" spans="1:11" ht="15.75" x14ac:dyDescent="0.25">
      <c r="A12" s="21"/>
      <c r="B12" s="88">
        <v>42400</v>
      </c>
      <c r="C12" s="88">
        <v>86200</v>
      </c>
      <c r="D12" s="88">
        <v>4453.5</v>
      </c>
      <c r="E12" s="91">
        <v>0.22</v>
      </c>
      <c r="F12" s="89">
        <f t="shared" si="0"/>
        <v>42400</v>
      </c>
      <c r="H12" s="21">
        <f>IF(TAX2018A!B31&lt;C12,D12+E12*(TAX2018A!B31-F12),H13)</f>
        <v>-4874.5</v>
      </c>
      <c r="I12" s="21">
        <f>IF(TAX2018A!B31&lt;C12,D12+E12*(TAX2018A!B31-F12),I13)</f>
        <v>-4874.5</v>
      </c>
      <c r="J12" s="21">
        <f>IF(TAX2018B!B31&lt;C12,D12+E12*(TAX2018B!B31-F12),J13)</f>
        <v>-4874.5</v>
      </c>
      <c r="K12" s="21">
        <f>IF(TAX2018B!B31&lt;C12,D12+E12*(TAX2018B!B31-F12),K13)</f>
        <v>-4874.5</v>
      </c>
    </row>
    <row r="13" spans="1:11" ht="15.75" x14ac:dyDescent="0.25">
      <c r="A13" s="21"/>
      <c r="B13" s="88">
        <v>86200</v>
      </c>
      <c r="C13" s="88">
        <v>161200</v>
      </c>
      <c r="D13" s="88">
        <v>14089.5</v>
      </c>
      <c r="E13" s="91">
        <v>0.24</v>
      </c>
      <c r="F13" s="89">
        <f t="shared" si="0"/>
        <v>86200</v>
      </c>
      <c r="H13" s="21">
        <f>IF(TAX2018A!B31&lt;C13,D13+E13*(TAX2018A!B31-F13),H14)</f>
        <v>-6598.5</v>
      </c>
      <c r="I13" s="21">
        <f>IF(TAX2018A!B31&lt;C13,D13+E13*(TAX2018A!B31-F13),I14)</f>
        <v>-6598.5</v>
      </c>
      <c r="J13" s="21">
        <f>IF(TAX2018B!B31&lt;C13,D13+E13*(TAX2018B!B31-F13),J14)</f>
        <v>-6598.5</v>
      </c>
      <c r="K13" s="21">
        <f>IF(TAX2018B!B31&lt;C13,D13+E13*(TAX2018B!B31-F13),K14)</f>
        <v>-6598.5</v>
      </c>
    </row>
    <row r="14" spans="1:11" ht="15.75" x14ac:dyDescent="0.25">
      <c r="A14" s="2"/>
      <c r="B14" s="88">
        <v>161200</v>
      </c>
      <c r="C14" s="88">
        <v>203700</v>
      </c>
      <c r="D14" s="88">
        <v>32089.5</v>
      </c>
      <c r="E14" s="91">
        <v>0.32</v>
      </c>
      <c r="F14" s="89">
        <f t="shared" si="0"/>
        <v>161200</v>
      </c>
      <c r="H14" s="21">
        <f>IF(TAX2018A!B31&lt;C14,D14+E14*(TAX2018A!B31-F14),H15)</f>
        <v>-19494.5</v>
      </c>
      <c r="I14" s="21">
        <f>IF(TAX2018A!B31&lt;C14,D14+E14*(TAX2018A!B31-F14),I15)</f>
        <v>-19494.5</v>
      </c>
      <c r="J14" s="21">
        <f>IF(TAX2018B!B31&lt;C14,D14+E14*(TAX2018B!B31-F14),J15)</f>
        <v>-19494.5</v>
      </c>
      <c r="K14" s="21">
        <f>IF(TAX2018B!B31&lt;C14,D14+E14*(TAX2018B!B31-F14),K15)</f>
        <v>-19494.5</v>
      </c>
    </row>
    <row r="15" spans="1:11" ht="15.75" x14ac:dyDescent="0.25">
      <c r="A15" s="2"/>
      <c r="B15" s="88">
        <v>203700</v>
      </c>
      <c r="C15" s="88">
        <v>503700</v>
      </c>
      <c r="D15" s="88">
        <v>45689.5</v>
      </c>
      <c r="E15" s="91">
        <v>0.35</v>
      </c>
      <c r="F15" s="89">
        <f t="shared" si="0"/>
        <v>203700</v>
      </c>
      <c r="H15" s="95">
        <f>IF(TAX2018A!B31&gt;B15,D15+E15*(TAX2018A!B31-F15),H16)</f>
        <v>0</v>
      </c>
      <c r="I15" s="95">
        <f>IF(TAX2018A!B31&gt;B15,D15+E15*(TAX2018A!B31-F15),I16)</f>
        <v>0</v>
      </c>
      <c r="J15" s="95">
        <f>IF(TAX2018B!B31&gt;B15,D15+E15*(TAX2018B!B31-F15),J16)</f>
        <v>0</v>
      </c>
      <c r="K15" s="95">
        <f>IF(TAX2018B!B31&gt;B15,D15+E15*(TAX2018B!B31-F15),K16)</f>
        <v>0</v>
      </c>
    </row>
    <row r="16" spans="1:11" ht="15.75" x14ac:dyDescent="0.25">
      <c r="A16" s="2"/>
      <c r="B16" s="88">
        <v>503700</v>
      </c>
      <c r="C16" s="88"/>
      <c r="D16" s="88">
        <v>150689.5</v>
      </c>
      <c r="E16" s="91">
        <v>0.37</v>
      </c>
      <c r="F16" s="89">
        <f>B16</f>
        <v>503700</v>
      </c>
      <c r="H16" s="95"/>
      <c r="I16" s="95"/>
      <c r="J16" s="95"/>
      <c r="K16" s="95"/>
    </row>
    <row r="17" spans="1:10" ht="15.75" x14ac:dyDescent="0.25">
      <c r="A17" s="4" t="s">
        <v>41</v>
      </c>
      <c r="B17" s="15"/>
      <c r="H17" s="96" t="str">
        <f>IF(TAX2018A!B10="M",H19,H66)</f>
        <v>ERR</v>
      </c>
      <c r="J17" s="96" t="str">
        <f>IF(TAX2018B!B10="M",J19,J66)</f>
        <v>ERR</v>
      </c>
    </row>
    <row r="18" spans="1:10" ht="15.75" x14ac:dyDescent="0.25">
      <c r="A18" s="33" t="s">
        <v>61</v>
      </c>
      <c r="B18" s="85" t="s">
        <v>67</v>
      </c>
      <c r="C18" s="86" t="s">
        <v>66</v>
      </c>
      <c r="D18" s="87" t="s">
        <v>65</v>
      </c>
      <c r="E18" s="87" t="s">
        <v>64</v>
      </c>
      <c r="F18" s="87" t="s">
        <v>63</v>
      </c>
      <c r="H18" s="59" t="s">
        <v>54</v>
      </c>
      <c r="J18" s="59" t="s">
        <v>54</v>
      </c>
    </row>
    <row r="19" spans="1:10" ht="15.75" x14ac:dyDescent="0.25">
      <c r="A19" s="21"/>
      <c r="B19" s="88">
        <v>0</v>
      </c>
      <c r="C19" s="88">
        <v>11550</v>
      </c>
      <c r="D19" s="89">
        <v>0</v>
      </c>
      <c r="E19" s="90"/>
      <c r="F19" s="89"/>
      <c r="H19" s="21">
        <f>IF(TAX2018A!B31&lt;C19,D19,H20)</f>
        <v>0</v>
      </c>
      <c r="J19" s="21">
        <f>IF(TAX2018B!B31&lt;C19,D19,J20)</f>
        <v>0</v>
      </c>
    </row>
    <row r="20" spans="1:10" ht="15.75" x14ac:dyDescent="0.25">
      <c r="A20" s="21"/>
      <c r="B20" s="88">
        <v>11550</v>
      </c>
      <c r="C20" s="88">
        <v>30600</v>
      </c>
      <c r="D20" s="89">
        <v>0</v>
      </c>
      <c r="E20" s="90">
        <v>0.1</v>
      </c>
      <c r="F20" s="89">
        <f t="shared" ref="F20:F26" si="1">B20</f>
        <v>11550</v>
      </c>
      <c r="H20" s="21">
        <f>IF(TAX2018A!B31&lt;C20,D20+E20*(TAX2018A!B31-F20),H21)</f>
        <v>-1155</v>
      </c>
      <c r="J20" s="21">
        <f>IF(TAX2018B!B31&lt;C20,D20+E20*(TAX2018B!B31-F20),J21)</f>
        <v>-1155</v>
      </c>
    </row>
    <row r="21" spans="1:10" ht="15.75" x14ac:dyDescent="0.25">
      <c r="A21" s="21"/>
      <c r="B21" s="88">
        <v>30600</v>
      </c>
      <c r="C21" s="88">
        <v>88950</v>
      </c>
      <c r="D21" s="89">
        <v>1905</v>
      </c>
      <c r="E21" s="91">
        <v>0.12</v>
      </c>
      <c r="F21" s="89">
        <f t="shared" si="1"/>
        <v>30600</v>
      </c>
      <c r="H21" s="21">
        <f>IF(TAX2018A!B31&lt;C21,D21+E21*(TAX2018A!B31-F21),H22)</f>
        <v>-1767</v>
      </c>
      <c r="J21" s="21">
        <f>IF(TAX2018B!B31&lt;C21,D21+E21*(TAX2018B!B31-F21),J22)</f>
        <v>-1767</v>
      </c>
    </row>
    <row r="22" spans="1:10" ht="15.75" x14ac:dyDescent="0.25">
      <c r="A22" s="21"/>
      <c r="B22" s="88">
        <v>88950</v>
      </c>
      <c r="C22" s="88">
        <v>176550</v>
      </c>
      <c r="D22" s="88">
        <v>8907</v>
      </c>
      <c r="E22" s="91">
        <v>0.22</v>
      </c>
      <c r="F22" s="89">
        <f t="shared" si="1"/>
        <v>88950</v>
      </c>
      <c r="H22" s="21">
        <f>IF(TAX2018A!B31&lt;C22,D22+E22*(TAX2018A!B31-F22),H23)</f>
        <v>-10662</v>
      </c>
      <c r="J22" s="21">
        <f>IF(TAX2018B!B31&lt;C22,D22+E22*(TAX2018B!B31-F22),J23)</f>
        <v>-10662</v>
      </c>
    </row>
    <row r="23" spans="1:10" ht="15.75" x14ac:dyDescent="0.25">
      <c r="A23" s="21"/>
      <c r="B23" s="88">
        <v>176550</v>
      </c>
      <c r="C23" s="88">
        <v>326550</v>
      </c>
      <c r="D23" s="88">
        <v>28179</v>
      </c>
      <c r="E23" s="91">
        <v>0.24</v>
      </c>
      <c r="F23" s="89">
        <f t="shared" si="1"/>
        <v>176550</v>
      </c>
      <c r="H23" s="21">
        <f>IF(TAX2018A!B31&lt;C23,D23+E23*(TAX2018A!B31-F23),H24)</f>
        <v>-14193</v>
      </c>
      <c r="J23" s="21">
        <f>IF(TAX2018B!B31&lt;C23,D23+E23*(TAX2018B!B31-F23),J24)</f>
        <v>-14193</v>
      </c>
    </row>
    <row r="24" spans="1:10" ht="15.75" x14ac:dyDescent="0.25">
      <c r="A24" s="21"/>
      <c r="B24" s="88">
        <v>326550</v>
      </c>
      <c r="C24" s="88">
        <v>411550</v>
      </c>
      <c r="D24" s="88">
        <v>64179</v>
      </c>
      <c r="E24" s="91">
        <v>0.32</v>
      </c>
      <c r="F24" s="89">
        <f t="shared" si="1"/>
        <v>326550</v>
      </c>
      <c r="H24" s="21">
        <f>IF(TAX2018A!B31&lt;C24,D24+E24*(TAX2018A!B31-F24),H25)</f>
        <v>-40317</v>
      </c>
      <c r="J24" s="21">
        <f>IF(TAX2018B!B31&lt;C24,D24+E24*(TAX2018B!B31-F24),J25)</f>
        <v>-40317</v>
      </c>
    </row>
    <row r="25" spans="1:10" ht="15.75" x14ac:dyDescent="0.25">
      <c r="A25" s="21"/>
      <c r="B25" s="88">
        <v>411550</v>
      </c>
      <c r="C25" s="88">
        <v>611550</v>
      </c>
      <c r="D25" s="88">
        <v>91379</v>
      </c>
      <c r="E25" s="91">
        <v>0.35</v>
      </c>
      <c r="F25" s="89">
        <f t="shared" si="1"/>
        <v>411550</v>
      </c>
      <c r="H25" s="95">
        <f>IF(TAX2018A!B31&gt;B25,D25+E25*(TAX2018A!B31-F25),H26)</f>
        <v>0</v>
      </c>
      <c r="J25" s="95">
        <f>IF(TAX2018B!B31&gt;B25,D25+E25*(TAX2018B!B31-F25),J26)</f>
        <v>0</v>
      </c>
    </row>
    <row r="26" spans="1:10" ht="15.75" x14ac:dyDescent="0.25">
      <c r="A26" s="21"/>
      <c r="B26" s="88">
        <v>611550</v>
      </c>
      <c r="C26" s="88"/>
      <c r="D26" s="88">
        <v>161379</v>
      </c>
      <c r="E26" s="91">
        <v>0.37</v>
      </c>
      <c r="F26" s="89">
        <f t="shared" si="1"/>
        <v>611550</v>
      </c>
      <c r="H26" s="95"/>
      <c r="J26" s="95"/>
    </row>
    <row r="27" spans="1:10" ht="15.75" x14ac:dyDescent="0.25">
      <c r="A27" s="2"/>
      <c r="H27" s="18" t="s">
        <v>24</v>
      </c>
      <c r="J27" s="18" t="s">
        <v>24</v>
      </c>
    </row>
    <row r="28" spans="1:10" ht="15.75" x14ac:dyDescent="0.25">
      <c r="A28" s="24" t="s">
        <v>30</v>
      </c>
      <c r="B28" s="15"/>
    </row>
    <row r="29" spans="1:10" ht="15.75" x14ac:dyDescent="0.25">
      <c r="A29" s="28" t="s">
        <v>34</v>
      </c>
      <c r="B29" s="15"/>
    </row>
    <row r="30" spans="1:10" ht="15.75" x14ac:dyDescent="0.25">
      <c r="A30" s="21" t="s">
        <v>46</v>
      </c>
      <c r="B30" s="88">
        <v>12000</v>
      </c>
      <c r="H30" s="97">
        <f>IF(TAX2018A!B11="S",-B30,H31)</f>
        <v>-12000</v>
      </c>
      <c r="J30" s="97">
        <f>IF(TAX2018B!B11="S",-B30,J31)</f>
        <v>-12000</v>
      </c>
    </row>
    <row r="31" spans="1:10" ht="15.75" x14ac:dyDescent="0.25">
      <c r="A31" s="21" t="s">
        <v>47</v>
      </c>
      <c r="B31" s="88">
        <v>24000</v>
      </c>
      <c r="H31" s="95" t="str">
        <f>+IF(TAX2018A!B11="M",-B31,H32)</f>
        <v>ERR</v>
      </c>
      <c r="J31" s="95" t="str">
        <f>+IF(TAX2018B!B11="M",-B31,J32)</f>
        <v>ERR</v>
      </c>
    </row>
    <row r="32" spans="1:10" ht="15.75" x14ac:dyDescent="0.25">
      <c r="A32" s="21" t="s">
        <v>48</v>
      </c>
      <c r="B32" s="88">
        <v>18000</v>
      </c>
      <c r="H32" s="95" t="str">
        <f>+IF(TAX2018A!B11="H",-B32,H33)</f>
        <v>ERR</v>
      </c>
      <c r="J32" s="95" t="str">
        <f>+IF(TAX2018B!B11="H",-B32,J33)</f>
        <v>ERR</v>
      </c>
    </row>
    <row r="33" spans="1:10" ht="15.75" x14ac:dyDescent="0.25">
      <c r="A33" s="21" t="s">
        <v>127</v>
      </c>
      <c r="B33" s="88">
        <v>12000</v>
      </c>
      <c r="H33" s="95" t="str">
        <f>+IF(TAX2018A!B11="B",-B33,H66)</f>
        <v>ERR</v>
      </c>
      <c r="J33" s="95" t="str">
        <f>+IF(TAX2018B!B11="B",-B33,J66)</f>
        <v>ERR</v>
      </c>
    </row>
    <row r="34" spans="1:10" ht="15.75" x14ac:dyDescent="0.25">
      <c r="A34" s="58"/>
      <c r="B34" s="95"/>
      <c r="H34" s="95"/>
      <c r="J34" s="95"/>
    </row>
    <row r="35" spans="1:10" ht="15.75" x14ac:dyDescent="0.25">
      <c r="A35" s="28" t="s">
        <v>35</v>
      </c>
      <c r="B35" s="95"/>
    </row>
    <row r="36" spans="1:10" ht="15.75" x14ac:dyDescent="0.25">
      <c r="A36" s="21" t="s">
        <v>37</v>
      </c>
      <c r="B36" s="98"/>
      <c r="H36" s="98">
        <f>IF(TAX2018A!B11="S",H37,H40)</f>
        <v>0</v>
      </c>
      <c r="J36" s="98">
        <f>IF(TAX2018B!B11="S",J37,J40)</f>
        <v>0</v>
      </c>
    </row>
    <row r="37" spans="1:10" ht="15.75" x14ac:dyDescent="0.25">
      <c r="A37" s="21" t="s">
        <v>49</v>
      </c>
      <c r="B37" s="88">
        <v>0</v>
      </c>
      <c r="H37" s="95">
        <f>IF(TAX2018A!B13=0,0+TAX2018A!B14*B38,H38)</f>
        <v>0</v>
      </c>
      <c r="J37" s="95">
        <f>IF(TAX2018B!B13=0,0+TAX2018B!B14*B38,J38)</f>
        <v>0</v>
      </c>
    </row>
    <row r="38" spans="1:10" ht="15.75" x14ac:dyDescent="0.25">
      <c r="A38" s="21" t="s">
        <v>50</v>
      </c>
      <c r="B38" s="88">
        <v>0</v>
      </c>
      <c r="H38" s="95" t="str">
        <f>IF(TAX2018A!B13&gt;=1,B37+((TAX2018A!B13-1)*B38+(TAX2018A!B14*B38)),H66)</f>
        <v>ERR</v>
      </c>
      <c r="J38" s="95" t="str">
        <f>IF(TAX2018B!B13&gt;=1,B37+((TAX2018B!B13-1)*B38+TAX2018B!B14*B38),J66)</f>
        <v>ERR</v>
      </c>
    </row>
    <row r="39" spans="1:10" ht="15.75" x14ac:dyDescent="0.25">
      <c r="A39" s="21"/>
      <c r="B39" s="95"/>
      <c r="H39" s="16"/>
      <c r="J39" s="16"/>
    </row>
    <row r="40" spans="1:10" ht="15.75" x14ac:dyDescent="0.25">
      <c r="A40" s="2" t="s">
        <v>39</v>
      </c>
      <c r="B40" s="98"/>
      <c r="H40" s="95" t="str">
        <f>IF(TAX2018A!B11="M",H41,H45)</f>
        <v>ERR</v>
      </c>
      <c r="J40" s="95" t="str">
        <f>IF(TAX2018B!B11="M",J41,J45)</f>
        <v>ERR</v>
      </c>
    </row>
    <row r="41" spans="1:10" ht="15.75" x14ac:dyDescent="0.25">
      <c r="A41" s="21" t="s">
        <v>129</v>
      </c>
      <c r="B41" s="88">
        <v>0</v>
      </c>
      <c r="H41" s="95">
        <f>IF(TAX2018A!B13=0,0+TAX2018A!B14*B42,H42)</f>
        <v>0</v>
      </c>
      <c r="J41" s="95">
        <f>IF(TAX2018B!B13=0,0+TAX2018B!B14*B42,J42)</f>
        <v>0</v>
      </c>
    </row>
    <row r="42" spans="1:10" ht="15.75" x14ac:dyDescent="0.25">
      <c r="A42" s="21" t="s">
        <v>50</v>
      </c>
      <c r="B42" s="88">
        <v>0</v>
      </c>
      <c r="H42" s="95" t="str">
        <f>IF(TAX2018A!B13=1,B41+TAX2018A!B14*B42,H43)</f>
        <v>ERR</v>
      </c>
      <c r="J42" s="95" t="str">
        <f>IF(TAX2018B!B13=1,B41+TAX2018B!B14*B42,J43)</f>
        <v>ERR</v>
      </c>
    </row>
    <row r="43" spans="1:10" ht="15.75" x14ac:dyDescent="0.25">
      <c r="A43" s="58"/>
      <c r="H43" s="95" t="str">
        <f>IF(TAX2018A!B13&gt;=2,B41*2+(TAX2018A!B13-2)*B42+TAX2018A!B14*B42,H66)</f>
        <v>ERR</v>
      </c>
      <c r="J43" s="95" t="str">
        <f>IF(TAX2018B!B13&gt;=2,B41*2+(TAX2018B!B13-2)*B42+TAX2018B!B14*B42,J66)</f>
        <v>ERR</v>
      </c>
    </row>
    <row r="44" spans="1:10" ht="15.75" x14ac:dyDescent="0.25">
      <c r="A44" s="2" t="s">
        <v>38</v>
      </c>
      <c r="B44" s="98"/>
      <c r="H44" s="16"/>
      <c r="J44" s="16"/>
    </row>
    <row r="45" spans="1:10" ht="15.75" x14ac:dyDescent="0.25">
      <c r="A45" s="21" t="s">
        <v>49</v>
      </c>
      <c r="B45" s="88">
        <v>0</v>
      </c>
      <c r="H45" s="95" t="str">
        <f>IF(TAX2018A!B11="H",H46,H49)</f>
        <v>ERR</v>
      </c>
      <c r="J45" s="95" t="str">
        <f>IF(TAX2018B!B11="H",J46,J49)</f>
        <v>ERR</v>
      </c>
    </row>
    <row r="46" spans="1:10" ht="15.75" x14ac:dyDescent="0.25">
      <c r="A46" s="21" t="s">
        <v>105</v>
      </c>
      <c r="B46" s="88">
        <v>0</v>
      </c>
      <c r="H46" s="95">
        <f>IF(TAX2018A!B13=0,0+TAX2018A!B14*B46,H47)</f>
        <v>0</v>
      </c>
      <c r="J46" s="95">
        <f>IF(TAX2018B!B13=0,0+TAX2018B!B14*B46,J47)</f>
        <v>0</v>
      </c>
    </row>
    <row r="47" spans="1:10" ht="15.75" x14ac:dyDescent="0.25">
      <c r="A47" s="21"/>
      <c r="B47" s="95"/>
      <c r="H47" s="95" t="str">
        <f>IF(TAX2018A!B13&gt;=1,(B45)+(B46*(TAX2018A!B13-1)+(TAX2018A!B14*B46)),H66)</f>
        <v>ERR</v>
      </c>
      <c r="J47" s="95" t="str">
        <f>IF(TAX2018B!B13&gt;=1,(B45)+(B46*(TAX2018B!B13-1)+(TAX2018B!B14*B46)),J66)</f>
        <v>ERR</v>
      </c>
    </row>
    <row r="48" spans="1:10" ht="15.75" x14ac:dyDescent="0.25">
      <c r="A48" s="2" t="s">
        <v>126</v>
      </c>
      <c r="B48" s="98"/>
      <c r="H48" s="95"/>
      <c r="J48" s="95"/>
    </row>
    <row r="49" spans="1:10" ht="15.75" x14ac:dyDescent="0.25">
      <c r="A49" s="21" t="s">
        <v>49</v>
      </c>
      <c r="B49" s="88">
        <v>0</v>
      </c>
      <c r="H49" s="95" t="str">
        <f>IF(TAX2018A!B11="B",H50,H66)</f>
        <v>ERR</v>
      </c>
      <c r="J49" s="95" t="str">
        <f>IF(TAX2018B!B11="B",J50,J66)</f>
        <v>ERR</v>
      </c>
    </row>
    <row r="50" spans="1:10" ht="15.75" x14ac:dyDescent="0.25">
      <c r="A50" s="21" t="s">
        <v>50</v>
      </c>
      <c r="B50" s="88">
        <v>0</v>
      </c>
      <c r="H50" s="95">
        <f>IF(TAX2018A!B13=0,0+TAX2018A!B14*B50,H51)</f>
        <v>0</v>
      </c>
      <c r="J50" s="95">
        <f>IF(TAX2018B!B13=0,0+TAX2018B!B14*B50,J51)</f>
        <v>0</v>
      </c>
    </row>
    <row r="51" spans="1:10" ht="15.75" x14ac:dyDescent="0.25">
      <c r="A51" s="21"/>
      <c r="B51" s="95"/>
      <c r="H51" s="95" t="str">
        <f>IF(TAX2018A!B13&gt;=1,B49+((TAX2018A!B13-1)*B50+(0+TAX2018A!B14*B50)),H66)</f>
        <v>ERR</v>
      </c>
      <c r="J51" s="95" t="str">
        <f>IF(TAX2018B!B13&gt;=1,B49+((TAX2018B!B13-1)*B50+(0+TAX2018B!B14*B50)),J66)</f>
        <v>ERR</v>
      </c>
    </row>
    <row r="52" spans="1:10" ht="15.75" x14ac:dyDescent="0.25">
      <c r="A52" s="99"/>
      <c r="B52" s="18"/>
      <c r="H52" s="18"/>
      <c r="J52" s="18"/>
    </row>
    <row r="53" spans="1:10" ht="15.75" x14ac:dyDescent="0.25">
      <c r="A53" s="58"/>
      <c r="B53" s="95"/>
      <c r="H53" s="18"/>
      <c r="J53" s="18"/>
    </row>
    <row r="54" spans="1:10" ht="15.75" x14ac:dyDescent="0.25">
      <c r="A54" s="100" t="s">
        <v>106</v>
      </c>
      <c r="B54" s="85" t="s">
        <v>43</v>
      </c>
      <c r="C54" s="85" t="s">
        <v>44</v>
      </c>
      <c r="D54" s="85" t="s">
        <v>107</v>
      </c>
      <c r="E54" s="85" t="s">
        <v>108</v>
      </c>
    </row>
    <row r="55" spans="1:10" ht="15.75" x14ac:dyDescent="0.25">
      <c r="A55" s="25"/>
      <c r="B55" s="88">
        <v>0</v>
      </c>
      <c r="C55" s="88">
        <v>1028</v>
      </c>
      <c r="D55" s="88">
        <v>0</v>
      </c>
      <c r="E55" s="25">
        <v>1.4999999999999999E-2</v>
      </c>
    </row>
    <row r="56" spans="1:10" ht="15.75" x14ac:dyDescent="0.25">
      <c r="A56" s="25"/>
      <c r="B56" s="88">
        <v>1028.01</v>
      </c>
      <c r="C56" s="88">
        <v>2056</v>
      </c>
      <c r="D56" s="88">
        <v>15</v>
      </c>
      <c r="E56" s="25">
        <v>0.02</v>
      </c>
      <c r="H56" s="21">
        <f>IF(TAX2018A!B50&lt;=(C55),E55*(TAX2018A!B50),H57)</f>
        <v>0</v>
      </c>
      <c r="J56" s="21">
        <f>IF(TAX2018B!B50&lt;=(C55),E55*(TAX2018B!B50),J57)</f>
        <v>0</v>
      </c>
    </row>
    <row r="57" spans="1:10" ht="15.75" x14ac:dyDescent="0.25">
      <c r="A57" s="25"/>
      <c r="B57" s="88">
        <v>2056.0100000000002</v>
      </c>
      <c r="C57" s="88">
        <v>3084</v>
      </c>
      <c r="D57" s="88">
        <v>36</v>
      </c>
      <c r="E57" s="25">
        <v>2.5000000000000001E-2</v>
      </c>
      <c r="H57" s="21">
        <f>IF(TAX2018A!B50&lt;=(C56),D56+E56*(TAX2018A!B50-(B56)),H58)</f>
        <v>-5.5602000000000018</v>
      </c>
      <c r="J57" s="21">
        <f>IF(TAX2018B!B50&lt;=(C56),D56+E56*(TAX2018B!B50-(B56)),J58)</f>
        <v>-5.5602000000000018</v>
      </c>
    </row>
    <row r="58" spans="1:10" ht="15.75" x14ac:dyDescent="0.25">
      <c r="A58" s="25"/>
      <c r="B58" s="88">
        <v>3084.01</v>
      </c>
      <c r="C58" s="88">
        <v>4113</v>
      </c>
      <c r="D58" s="88">
        <v>62</v>
      </c>
      <c r="E58" s="25">
        <v>0.03</v>
      </c>
      <c r="H58" s="21">
        <f>IF(TAX2018A!B50&lt;=(C57),D57+E57*(TAX2018A!B50-(B57)),H59)</f>
        <v>-15.400250000000007</v>
      </c>
      <c r="J58" s="21">
        <f>IF(TAX2018B!B50&lt;=(C57),D57+E57*(TAX2018B!B50-(B57)),J59)</f>
        <v>-15.400250000000007</v>
      </c>
    </row>
    <row r="59" spans="1:10" ht="15.75" x14ac:dyDescent="0.25">
      <c r="A59" s="25"/>
      <c r="B59" s="88">
        <v>4113.01</v>
      </c>
      <c r="C59" s="88">
        <v>5141</v>
      </c>
      <c r="D59" s="88">
        <v>93</v>
      </c>
      <c r="E59" s="25">
        <v>3.5000000000000003E-2</v>
      </c>
      <c r="H59" s="21">
        <f>IF(TAX2018A!B50&lt;=(C58),D58+E58*(TAX2018A!B50-(B58)),H60)</f>
        <v>-30.520300000000006</v>
      </c>
      <c r="J59" s="21">
        <f>IF(TAX2018B!B50&lt;=(C58),D58+E58*(TAX2018B!B50-(B58)),J60)</f>
        <v>-30.520300000000006</v>
      </c>
    </row>
    <row r="60" spans="1:10" ht="15.75" x14ac:dyDescent="0.25">
      <c r="A60" s="25"/>
      <c r="B60" s="88">
        <v>5141.01</v>
      </c>
      <c r="C60" s="88">
        <v>6169</v>
      </c>
      <c r="D60" s="88">
        <v>129</v>
      </c>
      <c r="E60" s="25">
        <v>0.04</v>
      </c>
      <c r="H60" s="21">
        <f>IF(TAX2018A!B50&lt;=(C59),D59+E59*(TAX2018A!B50-(B59)),H61)</f>
        <v>-50.95535000000001</v>
      </c>
      <c r="J60" s="21">
        <f>IF(TAX2018B!B50&lt;=(C59),D59+E59*(TAX2018B!B50-(B59)),J61)</f>
        <v>-50.95535000000001</v>
      </c>
    </row>
    <row r="61" spans="1:10" ht="15.75" x14ac:dyDescent="0.25">
      <c r="A61" s="25"/>
      <c r="B61" s="88">
        <v>6169.01</v>
      </c>
      <c r="C61" s="88">
        <v>7197</v>
      </c>
      <c r="D61" s="88">
        <v>170</v>
      </c>
      <c r="E61" s="25">
        <v>4.4999999999999998E-2</v>
      </c>
      <c r="H61" s="21">
        <f>IF(TAX2018A!B50&lt;=(C60),D60+E60*(TAX2018A!B50-(B60)),H62)</f>
        <v>-76.6404</v>
      </c>
      <c r="J61" s="21">
        <f>IF(TAX2018B!B50&lt;=(C60),D60+E60*(TAX2018B!B50-(B60)),J62)</f>
        <v>-76.6404</v>
      </c>
    </row>
    <row r="62" spans="1:10" ht="15.75" x14ac:dyDescent="0.25">
      <c r="A62" s="25"/>
      <c r="B62" s="88">
        <v>7197.01</v>
      </c>
      <c r="C62" s="88">
        <v>8225</v>
      </c>
      <c r="D62" s="88">
        <v>216</v>
      </c>
      <c r="E62" s="25">
        <v>0.05</v>
      </c>
      <c r="H62" s="21">
        <f>IF(TAX2018A!B50&lt;=(C61),D61+E61*(TAX2018A!B50-(B61)),H63)</f>
        <v>-107.60545000000002</v>
      </c>
      <c r="J62" s="21">
        <f>IF(TAX2018B!B50&lt;=(C61),D61+E61*(TAX2018B!B50-(B61)),J63)</f>
        <v>-107.60545000000002</v>
      </c>
    </row>
    <row r="63" spans="1:10" ht="15.75" x14ac:dyDescent="0.25">
      <c r="A63" s="25"/>
      <c r="B63" s="88">
        <v>8225.01</v>
      </c>
      <c r="C63" s="88">
        <v>9253</v>
      </c>
      <c r="D63" s="88">
        <v>267</v>
      </c>
      <c r="E63" s="25">
        <v>5.5E-2</v>
      </c>
      <c r="H63" s="21">
        <f>IF(TAX2018A!B50&lt;=(C62),D62+E62*(TAX2018A!B50-(B62)),H64)</f>
        <v>-143.85050000000001</v>
      </c>
      <c r="J63" s="21">
        <f>IF(TAX2018B!B50&lt;=(C62),D62+E62*(TAX2018B!B50-(B62)),J64)</f>
        <v>-143.85050000000001</v>
      </c>
    </row>
    <row r="64" spans="1:10" ht="15.75" x14ac:dyDescent="0.25">
      <c r="A64" s="25"/>
      <c r="B64" s="88">
        <v>9253.01</v>
      </c>
      <c r="D64" s="88">
        <v>324</v>
      </c>
      <c r="E64" s="25">
        <v>5.8999999999999997E-2</v>
      </c>
      <c r="H64" s="21">
        <f>IF(TAX2018A!B50&lt;=(C63),D63+E63*(TAX2018A!B50-(B63)),H65)</f>
        <v>-185.37555000000003</v>
      </c>
      <c r="J64" s="21">
        <f>IF(TAX2018B!B50&lt;=(C63),D63+E63*(TAX2018B!B50-(B63)),J65)</f>
        <v>-185.37555000000003</v>
      </c>
    </row>
    <row r="65" spans="1:10" ht="15.75" x14ac:dyDescent="0.25">
      <c r="A65" s="22"/>
      <c r="H65" s="95" t="str">
        <f>IF(TAX2018A!B50&gt;(B64),D64+E64*(TAX2018A!B50-(B64)),H66)</f>
        <v>ERR</v>
      </c>
      <c r="J65" s="95" t="str">
        <f>IF(TAX2018B!B50&gt;(B64),D64+E64*(TAX2018B!B50-(B64)),J66)</f>
        <v>ERR</v>
      </c>
    </row>
    <row r="66" spans="1:10" ht="15.75" x14ac:dyDescent="0.25">
      <c r="A66" s="31" t="s">
        <v>56</v>
      </c>
      <c r="B66" s="18" t="e">
        <f>IF(#REF!="N",0,H66)</f>
        <v>#REF!</v>
      </c>
      <c r="H66" s="18" t="s">
        <v>24</v>
      </c>
      <c r="J66" s="18" t="s">
        <v>24</v>
      </c>
    </row>
    <row r="67" spans="1:10" ht="15.75" x14ac:dyDescent="0.25">
      <c r="A67" s="31" t="s">
        <v>57</v>
      </c>
      <c r="B67" s="18" t="e">
        <f>IF(#REF!="N",0,H66)</f>
        <v>#REF!</v>
      </c>
      <c r="H67" s="18"/>
      <c r="J67" s="18"/>
    </row>
    <row r="68" spans="1:10" ht="15.75" x14ac:dyDescent="0.25">
      <c r="A68" s="31" t="s">
        <v>58</v>
      </c>
      <c r="B68" s="18" t="e">
        <f>IF(#REF!="Y",0,H66)</f>
        <v>#REF!</v>
      </c>
      <c r="H68" s="18"/>
      <c r="J68" s="18"/>
    </row>
    <row r="69" spans="1:10" ht="15.75" x14ac:dyDescent="0.25">
      <c r="A69" s="31" t="s">
        <v>59</v>
      </c>
      <c r="B69" s="18" t="e">
        <f>IF(#REF!="Y",0,H66)</f>
        <v>#REF!</v>
      </c>
      <c r="H69" s="101"/>
      <c r="J69" s="101"/>
    </row>
    <row r="70" spans="1:10" ht="15.75" x14ac:dyDescent="0.25">
      <c r="A70" s="16" t="s">
        <v>25</v>
      </c>
      <c r="B70" s="17"/>
      <c r="H70" s="101"/>
      <c r="J70" s="101"/>
    </row>
    <row r="71" spans="1:10" ht="15.75" x14ac:dyDescent="0.25">
      <c r="A71" s="32" t="s">
        <v>60</v>
      </c>
      <c r="B71" s="17"/>
    </row>
    <row r="72" spans="1:10" x14ac:dyDescent="0.2">
      <c r="A72" s="23"/>
      <c r="B72" s="17"/>
    </row>
    <row r="73" spans="1:10" ht="15.75" x14ac:dyDescent="0.25">
      <c r="A73" s="14" t="s">
        <v>28</v>
      </c>
    </row>
    <row r="74" spans="1:10" ht="15.75" x14ac:dyDescent="0.25">
      <c r="A74" s="68" t="s">
        <v>46</v>
      </c>
      <c r="B74" s="88">
        <v>5000</v>
      </c>
    </row>
    <row r="75" spans="1:10" ht="15.75" x14ac:dyDescent="0.25">
      <c r="A75" s="68" t="s">
        <v>47</v>
      </c>
      <c r="B75" s="88">
        <v>10000</v>
      </c>
      <c r="H75" s="21">
        <f>IF(TAX2018A!B11="S",B74,H76)</f>
        <v>5000</v>
      </c>
      <c r="J75" s="21">
        <f>IF(TAX2018B!B11="S",B74,J76)</f>
        <v>5000</v>
      </c>
    </row>
    <row r="76" spans="1:10" ht="15.75" x14ac:dyDescent="0.25">
      <c r="A76" s="68" t="s">
        <v>48</v>
      </c>
      <c r="B76" s="88">
        <v>5000</v>
      </c>
      <c r="H76" s="95" t="str">
        <f>IF(TAX2018A!B11="M",B75,H77)</f>
        <v>ERR</v>
      </c>
      <c r="J76" s="95" t="str">
        <f>IF(TAX2018B!B11="M",B75,J77)</f>
        <v>ERR</v>
      </c>
    </row>
    <row r="77" spans="1:10" ht="15.75" x14ac:dyDescent="0.25">
      <c r="A77" s="68" t="s">
        <v>127</v>
      </c>
      <c r="B77" s="88">
        <v>5000</v>
      </c>
      <c r="H77" s="95" t="str">
        <f>IF(TAX2018A!B11="H",B76,H78)</f>
        <v>ERR</v>
      </c>
      <c r="J77" s="95" t="str">
        <f>IF(TAX2018B!B11="H",B76,J78)</f>
        <v>ERR</v>
      </c>
    </row>
    <row r="78" spans="1:10" ht="15.75" x14ac:dyDescent="0.25">
      <c r="A78" s="58"/>
      <c r="H78" s="95" t="str">
        <f>IF(TAX2018A!B11="B",B77,H66)</f>
        <v>ERR</v>
      </c>
      <c r="J78" s="95" t="str">
        <f>IF(TAX2018B!B11="B",B77,J66)</f>
        <v>ERR</v>
      </c>
    </row>
    <row r="79" spans="1:10" ht="15.75" x14ac:dyDescent="0.25">
      <c r="A79" s="70" t="s">
        <v>87</v>
      </c>
      <c r="B79" s="90">
        <v>6.2E-2</v>
      </c>
    </row>
    <row r="80" spans="1:10" ht="15.75" x14ac:dyDescent="0.25">
      <c r="A80" s="70" t="s">
        <v>88</v>
      </c>
      <c r="B80" s="90">
        <v>1.4500000000000001E-2</v>
      </c>
    </row>
    <row r="81" spans="1:3" ht="15.75" x14ac:dyDescent="0.25">
      <c r="A81" s="70" t="s">
        <v>143</v>
      </c>
      <c r="B81" s="90">
        <f>B80+0.009</f>
        <v>2.35E-2</v>
      </c>
    </row>
    <row r="82" spans="1:3" ht="15.75" x14ac:dyDescent="0.25">
      <c r="A82" s="70" t="s">
        <v>89</v>
      </c>
      <c r="B82" s="89">
        <v>128400</v>
      </c>
    </row>
    <row r="83" spans="1:3" ht="15.75" x14ac:dyDescent="0.25">
      <c r="A83" s="72" t="s">
        <v>144</v>
      </c>
      <c r="B83" s="102">
        <v>200000</v>
      </c>
    </row>
    <row r="84" spans="1:3" x14ac:dyDescent="0.2">
      <c r="A84" s="58"/>
    </row>
    <row r="85" spans="1:3" ht="15.75" x14ac:dyDescent="0.25">
      <c r="A85" s="70" t="s">
        <v>90</v>
      </c>
      <c r="B85" s="103" t="s">
        <v>92</v>
      </c>
      <c r="C85" s="103" t="s">
        <v>91</v>
      </c>
    </row>
    <row r="86" spans="1:3" ht="15.75" x14ac:dyDescent="0.25">
      <c r="A86" s="104" t="s">
        <v>26</v>
      </c>
      <c r="B86" s="90">
        <v>0.01</v>
      </c>
      <c r="C86" s="90">
        <v>1</v>
      </c>
    </row>
    <row r="87" spans="1:3" ht="15.75" x14ac:dyDescent="0.25">
      <c r="A87" s="104" t="s">
        <v>27</v>
      </c>
      <c r="B87" s="90">
        <v>0.01</v>
      </c>
      <c r="C87" s="90">
        <v>1</v>
      </c>
    </row>
    <row r="88" spans="1:3" ht="15.75" x14ac:dyDescent="0.25">
      <c r="A88" s="70" t="s">
        <v>93</v>
      </c>
      <c r="B88" s="90">
        <v>0.01</v>
      </c>
      <c r="C88" s="90">
        <v>1</v>
      </c>
    </row>
    <row r="89" spans="1:3" ht="15.75" x14ac:dyDescent="0.25">
      <c r="A89" s="70" t="s">
        <v>94</v>
      </c>
      <c r="B89" s="90">
        <v>0.01</v>
      </c>
      <c r="C89" s="90">
        <v>1</v>
      </c>
    </row>
    <row r="90" spans="1:3" x14ac:dyDescent="0.2">
      <c r="A90" s="58"/>
    </row>
    <row r="91" spans="1:3" ht="15.75" x14ac:dyDescent="0.25">
      <c r="A91" s="45" t="s">
        <v>149</v>
      </c>
      <c r="B91" s="67"/>
    </row>
    <row r="92" spans="1:3" ht="15.75" x14ac:dyDescent="0.25">
      <c r="A92" s="45" t="s">
        <v>150</v>
      </c>
    </row>
    <row r="93" spans="1:3" s="105" customFormat="1" ht="15.75" x14ac:dyDescent="0.25">
      <c r="A93" s="71"/>
    </row>
    <row r="94" spans="1:3" x14ac:dyDescent="0.2">
      <c r="A94" s="58" t="s">
        <v>154</v>
      </c>
    </row>
    <row r="95" spans="1:3" x14ac:dyDescent="0.2">
      <c r="A95" s="58"/>
    </row>
    <row r="96" spans="1:3" x14ac:dyDescent="0.2">
      <c r="A96" s="58"/>
    </row>
    <row r="97" spans="1:1" x14ac:dyDescent="0.2">
      <c r="A97" s="58"/>
    </row>
    <row r="98" spans="1:1" x14ac:dyDescent="0.2">
      <c r="A98" s="58"/>
    </row>
    <row r="99" spans="1:1" x14ac:dyDescent="0.2">
      <c r="A99" s="58"/>
    </row>
    <row r="100" spans="1:1" x14ac:dyDescent="0.2">
      <c r="A100" s="58"/>
    </row>
    <row r="101" spans="1:1" x14ac:dyDescent="0.2">
      <c r="A101" s="58"/>
    </row>
    <row r="102" spans="1:1" x14ac:dyDescent="0.2">
      <c r="A102" s="58"/>
    </row>
    <row r="103" spans="1:1" x14ac:dyDescent="0.2">
      <c r="A103" s="58"/>
    </row>
    <row r="104" spans="1:1" x14ac:dyDescent="0.2">
      <c r="A104" s="58"/>
    </row>
    <row r="105" spans="1:1" x14ac:dyDescent="0.2">
      <c r="A105" s="58"/>
    </row>
    <row r="106" spans="1:1" x14ac:dyDescent="0.2">
      <c r="A106" s="58"/>
    </row>
    <row r="107" spans="1:1" x14ac:dyDescent="0.2">
      <c r="A107" s="58"/>
    </row>
    <row r="108" spans="1:1" x14ac:dyDescent="0.2">
      <c r="A108" s="58"/>
    </row>
    <row r="109" spans="1:1" x14ac:dyDescent="0.2">
      <c r="A109" s="58"/>
    </row>
    <row r="110" spans="1:1" x14ac:dyDescent="0.2">
      <c r="A110" s="58"/>
    </row>
    <row r="111" spans="1:1" x14ac:dyDescent="0.2">
      <c r="A111" s="58"/>
    </row>
    <row r="112" spans="1:1" x14ac:dyDescent="0.2">
      <c r="A112" s="58"/>
    </row>
    <row r="113" spans="1:1" x14ac:dyDescent="0.2">
      <c r="A113" s="58"/>
    </row>
    <row r="114" spans="1:1" x14ac:dyDescent="0.2">
      <c r="A114" s="58"/>
    </row>
    <row r="115" spans="1:1" x14ac:dyDescent="0.2">
      <c r="A115" s="58"/>
    </row>
    <row r="116" spans="1:1" x14ac:dyDescent="0.2">
      <c r="A116" s="58"/>
    </row>
    <row r="117" spans="1:1" x14ac:dyDescent="0.2">
      <c r="A117" s="58"/>
    </row>
    <row r="118" spans="1:1" x14ac:dyDescent="0.2">
      <c r="A118" s="58"/>
    </row>
    <row r="119" spans="1:1" x14ac:dyDescent="0.2">
      <c r="A119" s="58"/>
    </row>
    <row r="120" spans="1:1" x14ac:dyDescent="0.2">
      <c r="A120" s="58"/>
    </row>
    <row r="121" spans="1:1" x14ac:dyDescent="0.2">
      <c r="A121" s="58"/>
    </row>
    <row r="122" spans="1:1" x14ac:dyDescent="0.2">
      <c r="A122" s="58"/>
    </row>
    <row r="123" spans="1:1" x14ac:dyDescent="0.2">
      <c r="A123" s="58"/>
    </row>
    <row r="124" spans="1:1" x14ac:dyDescent="0.2">
      <c r="A124" s="58"/>
    </row>
    <row r="125" spans="1:1" x14ac:dyDescent="0.2">
      <c r="A125" s="58"/>
    </row>
    <row r="126" spans="1:1" x14ac:dyDescent="0.2">
      <c r="A126" s="58"/>
    </row>
    <row r="127" spans="1:1" x14ac:dyDescent="0.2">
      <c r="A127" s="58"/>
    </row>
    <row r="128" spans="1:1" x14ac:dyDescent="0.2">
      <c r="A128" s="58"/>
    </row>
    <row r="129" spans="1:1" x14ac:dyDescent="0.2">
      <c r="A129" s="58"/>
    </row>
    <row r="130" spans="1:1" x14ac:dyDescent="0.2">
      <c r="A130" s="58"/>
    </row>
    <row r="131" spans="1:1" x14ac:dyDescent="0.2">
      <c r="A131" s="58"/>
    </row>
    <row r="132" spans="1:1" x14ac:dyDescent="0.2">
      <c r="A132" s="58"/>
    </row>
    <row r="133" spans="1:1" x14ac:dyDescent="0.2">
      <c r="A133" s="58"/>
    </row>
    <row r="134" spans="1:1" x14ac:dyDescent="0.2">
      <c r="A134" s="58"/>
    </row>
    <row r="135" spans="1:1" x14ac:dyDescent="0.2">
      <c r="A135" s="58"/>
    </row>
    <row r="136" spans="1:1" x14ac:dyDescent="0.2">
      <c r="A136" s="58"/>
    </row>
    <row r="137" spans="1:1" x14ac:dyDescent="0.2">
      <c r="A137" s="58"/>
    </row>
    <row r="138" spans="1:1" x14ac:dyDescent="0.2">
      <c r="A138" s="58"/>
    </row>
    <row r="139" spans="1:1" x14ac:dyDescent="0.2">
      <c r="A139" s="58"/>
    </row>
    <row r="140" spans="1:1" x14ac:dyDescent="0.2">
      <c r="A140" s="58"/>
    </row>
    <row r="141" spans="1:1" x14ac:dyDescent="0.2">
      <c r="A141" s="58"/>
    </row>
    <row r="142" spans="1:1" x14ac:dyDescent="0.2">
      <c r="A142" s="58"/>
    </row>
    <row r="143" spans="1:1" x14ac:dyDescent="0.2">
      <c r="A143" s="58"/>
    </row>
    <row r="144" spans="1:1" x14ac:dyDescent="0.2">
      <c r="A144" s="58"/>
    </row>
    <row r="145" spans="1:1" x14ac:dyDescent="0.2">
      <c r="A145" s="58"/>
    </row>
    <row r="146" spans="1:1" x14ac:dyDescent="0.2">
      <c r="A146" s="58"/>
    </row>
    <row r="147" spans="1:1" x14ac:dyDescent="0.2">
      <c r="A147" s="58"/>
    </row>
  </sheetData>
  <phoneticPr fontId="0" type="noConversion"/>
  <printOptions gridLines="1" gridLinesSet="0"/>
  <pageMargins left="0.5" right="0.5" top="0.5" bottom="0.5" header="0.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TAX2018A</vt:lpstr>
      <vt:lpstr>TAX2018B</vt:lpstr>
      <vt:lpstr>SAVINGS</vt:lpstr>
      <vt:lpstr>Formulas</vt:lpstr>
      <vt:lpstr>Formulas!Print_Area</vt:lpstr>
    </vt:vector>
  </TitlesOfParts>
  <Company>OA Accounting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Calculation Workbook</dc:title>
  <dc:creator>Aric Luebbering</dc:creator>
  <cp:lastModifiedBy>forckc</cp:lastModifiedBy>
  <cp:lastPrinted>2013-01-29T21:47:55Z</cp:lastPrinted>
  <dcterms:created xsi:type="dcterms:W3CDTF">1998-01-06T17:15:30Z</dcterms:created>
  <dcterms:modified xsi:type="dcterms:W3CDTF">2018-04-12T11:57:01Z</dcterms:modified>
</cp:coreProperties>
</file>